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15" windowWidth="9120" windowHeight="9270" tabRatio="947" activeTab="6"/>
  </bookViews>
  <sheets>
    <sheet name="Notes" sheetId="10" r:id="rId1"/>
    <sheet name="Key formula data" sheetId="35" r:id="rId2"/>
    <sheet name="Proposed scheme checker" sheetId="36" r:id="rId3"/>
    <sheet name="1. Proportions MR+income req" sheetId="16" r:id="rId4"/>
    <sheet name="2. Max levels within Ben Cap" sheetId="29" r:id="rId5"/>
    <sheet name="3. Max levels for incomes HRS" sheetId="32" r:id="rId6"/>
    <sheet name="4. Test of possible scenarios" sheetId="34" r:id="rId7"/>
    <sheet name="Data 1. Income" sheetId="13" r:id="rId8"/>
    <sheet name="Data 2. Target Rents" sheetId="12" r:id="rId9"/>
    <sheet name="Data 3. Benefit cap analysis" sheetId="33" r:id="rId10"/>
    <sheet name="Data4 Extra Benefit Cap Details" sheetId="37" r:id="rId11"/>
    <sheet name="Rent data" sheetId="38" r:id="rId12"/>
  </sheets>
  <definedNames>
    <definedName name="_xlnm._FilterDatabase" localSheetId="4" hidden="1">'2. Max levels within Ben Cap'!$N$10:$S$14</definedName>
    <definedName name="_xlnm._FilterDatabase" localSheetId="5" hidden="1">'3. Max levels for incomes HRS'!#REF!</definedName>
    <definedName name="_ftn1" localSheetId="8">'Data 2. Target Rents'!#REF!</definedName>
    <definedName name="_ftnref1" localSheetId="8">'Data 2. Target Rents'!#REF!</definedName>
    <definedName name="lhamonthly">'Key formula data'!$B$23:$E$23</definedName>
    <definedName name="lhaweekly">'Key formula data'!$B$22:$E$22</definedName>
    <definedName name="Medianrents">'Proposed scheme checker'!$H$6:$L$14</definedName>
    <definedName name="medianrents22">'Proposed scheme checker'!$H$5:$L$14</definedName>
    <definedName name="_xlnm.Print_Area" localSheetId="3">'1. Proportions MR+income req'!$A$1:$AI$59</definedName>
    <definedName name="_xlnm.Print_Area" localSheetId="4">'2. Max levels within Ben Cap'!$A$1:$T$54</definedName>
    <definedName name="_xlnm.Print_Area" localSheetId="5">'3. Max levels for incomes HRS'!$A$1:$Q$48</definedName>
    <definedName name="_xlnm.Print_Area" localSheetId="6" xml:space="preserve"> '4. Test of possible scenarios'!$A$1:$J$56</definedName>
    <definedName name="_xlnm.Print_Area" localSheetId="9">'Data 3. Benefit cap analysis'!$A$1:$P$61</definedName>
    <definedName name="_xlnm.Print_Area" localSheetId="10">'Data4 Extra Benefit Cap Details'!$A$1:$K$33</definedName>
    <definedName name="_xlnm.Print_Area" localSheetId="1">'Key formula data'!$A$1:$H$54</definedName>
    <definedName name="_xlnm.Print_Area" localSheetId="0">Notes!$A$1:$B$37</definedName>
    <definedName name="_xlnm.Print_Area" localSheetId="2">'Proposed scheme checker'!$A$1:$L$26</definedName>
    <definedName name="rents">'3. Max levels for incomes HRS'!#REF!</definedName>
    <definedName name="rents2">'4. Test of possible scenarios'!#REF!</definedName>
    <definedName name="rentstable">#REF!</definedName>
    <definedName name="rentstable2">#REF!</definedName>
    <definedName name="rentstable3">'Key formula data'!$A$8:$E$17</definedName>
  </definedNames>
  <calcPr calcId="145621"/>
</workbook>
</file>

<file path=xl/calcChain.xml><?xml version="1.0" encoding="utf-8"?>
<calcChain xmlns="http://schemas.openxmlformats.org/spreadsheetml/2006/main">
  <c r="C8" i="35" l="1"/>
  <c r="D8" i="35"/>
  <c r="E8" i="35"/>
  <c r="L5" i="36" s="1"/>
  <c r="C9" i="36" s="1"/>
  <c r="C17" i="36" s="1"/>
  <c r="C9" i="35"/>
  <c r="J6" i="36" s="1"/>
  <c r="D7" i="36" s="1"/>
  <c r="D15" i="36" s="1"/>
  <c r="D9" i="35"/>
  <c r="E9" i="35"/>
  <c r="C10" i="35"/>
  <c r="D10" i="35"/>
  <c r="K7" i="36" s="1"/>
  <c r="E8" i="36" s="1"/>
  <c r="E16" i="36" s="1"/>
  <c r="E10" i="35"/>
  <c r="L7" i="36" s="1"/>
  <c r="E9" i="36" s="1"/>
  <c r="E17" i="36" s="1"/>
  <c r="C11" i="35"/>
  <c r="D11" i="35"/>
  <c r="E11" i="35"/>
  <c r="C12" i="35"/>
  <c r="J9" i="36" s="1"/>
  <c r="D12" i="35"/>
  <c r="K9" i="36" s="1"/>
  <c r="E12" i="35"/>
  <c r="C13" i="35"/>
  <c r="D13" i="35"/>
  <c r="E13" i="35"/>
  <c r="L10" i="36" s="1"/>
  <c r="C14" i="35"/>
  <c r="C15" i="16" s="1"/>
  <c r="D14" i="35"/>
  <c r="E14" i="35"/>
  <c r="C15" i="35"/>
  <c r="D15" i="35"/>
  <c r="K12" i="36" s="1"/>
  <c r="E15" i="35"/>
  <c r="L12" i="36" s="1"/>
  <c r="C16" i="35"/>
  <c r="D16" i="35"/>
  <c r="E16" i="35"/>
  <c r="C17" i="35"/>
  <c r="J14" i="36" s="1"/>
  <c r="D17" i="35"/>
  <c r="K14" i="36" s="1"/>
  <c r="E17" i="35"/>
  <c r="B9" i="35"/>
  <c r="B10" i="35"/>
  <c r="B11" i="35"/>
  <c r="B12" i="35"/>
  <c r="B13" i="16" s="1"/>
  <c r="B13" i="35"/>
  <c r="B14" i="35"/>
  <c r="B15" i="35"/>
  <c r="B16" i="35"/>
  <c r="B17" i="35"/>
  <c r="B18" i="16" s="1"/>
  <c r="B8" i="35"/>
  <c r="K27" i="38"/>
  <c r="J27" i="38"/>
  <c r="I27" i="38"/>
  <c r="H27" i="38"/>
  <c r="K26" i="38"/>
  <c r="J26" i="38"/>
  <c r="I26" i="38"/>
  <c r="H26" i="38"/>
  <c r="K25" i="38"/>
  <c r="J25" i="38"/>
  <c r="I25" i="38"/>
  <c r="H25" i="38"/>
  <c r="K24" i="38"/>
  <c r="J24" i="38"/>
  <c r="I24" i="38"/>
  <c r="H24" i="38"/>
  <c r="K23" i="38"/>
  <c r="J23" i="38"/>
  <c r="I23" i="38"/>
  <c r="H23" i="38"/>
  <c r="K22" i="38"/>
  <c r="J22" i="38"/>
  <c r="I22" i="38"/>
  <c r="H22" i="38"/>
  <c r="K21" i="38"/>
  <c r="J21" i="38"/>
  <c r="I21" i="38"/>
  <c r="H21" i="38"/>
  <c r="K20" i="38"/>
  <c r="J20" i="38"/>
  <c r="I20" i="38"/>
  <c r="H20" i="38"/>
  <c r="K19" i="38"/>
  <c r="J19" i="38"/>
  <c r="I19" i="38"/>
  <c r="H19" i="38"/>
  <c r="K18" i="38"/>
  <c r="J18" i="38"/>
  <c r="I18" i="38"/>
  <c r="H18" i="38"/>
  <c r="C18" i="38"/>
  <c r="D18" i="38"/>
  <c r="E18" i="38"/>
  <c r="C19" i="38"/>
  <c r="D19" i="38"/>
  <c r="E19" i="38"/>
  <c r="C20" i="38"/>
  <c r="D20" i="38"/>
  <c r="E20" i="38"/>
  <c r="C21" i="38"/>
  <c r="D21" i="38"/>
  <c r="E21" i="38"/>
  <c r="C22" i="38"/>
  <c r="D22" i="38"/>
  <c r="E22" i="38"/>
  <c r="C23" i="38"/>
  <c r="D23" i="38"/>
  <c r="E23" i="38"/>
  <c r="C24" i="38"/>
  <c r="D24" i="38"/>
  <c r="E24" i="38"/>
  <c r="C25" i="38"/>
  <c r="D25" i="38"/>
  <c r="E25" i="38"/>
  <c r="C26" i="38"/>
  <c r="D26" i="38"/>
  <c r="E26" i="38"/>
  <c r="C27" i="38"/>
  <c r="D27" i="38"/>
  <c r="E27" i="38"/>
  <c r="B19" i="38"/>
  <c r="B20" i="38"/>
  <c r="B21" i="38"/>
  <c r="B22" i="38"/>
  <c r="B23" i="38"/>
  <c r="B24" i="38"/>
  <c r="B25" i="38"/>
  <c r="B26" i="38"/>
  <c r="B27" i="38"/>
  <c r="B18" i="38"/>
  <c r="B1" i="34"/>
  <c r="D20" i="33"/>
  <c r="D19" i="33"/>
  <c r="D14" i="33"/>
  <c r="D15" i="33"/>
  <c r="D16" i="33"/>
  <c r="D17" i="33"/>
  <c r="D18" i="33"/>
  <c r="D13" i="33"/>
  <c r="D7" i="33"/>
  <c r="D8" i="33"/>
  <c r="D9" i="33"/>
  <c r="D10" i="33"/>
  <c r="D11" i="33"/>
  <c r="D12" i="33"/>
  <c r="D6" i="33"/>
  <c r="D5" i="33"/>
  <c r="D4" i="33"/>
  <c r="F15" i="33"/>
  <c r="F16" i="33" s="1"/>
  <c r="F17" i="33" s="1"/>
  <c r="F18" i="33" s="1"/>
  <c r="F14" i="33"/>
  <c r="F8" i="33"/>
  <c r="F9" i="33" s="1"/>
  <c r="F10" i="33" s="1"/>
  <c r="F11" i="33" s="1"/>
  <c r="F12" i="33" s="1"/>
  <c r="D3" i="16"/>
  <c r="H5" i="36"/>
  <c r="I5" i="36"/>
  <c r="J5" i="36"/>
  <c r="K5" i="36"/>
  <c r="C8" i="36" s="1"/>
  <c r="C16" i="36" s="1"/>
  <c r="H6" i="36"/>
  <c r="I6" i="36"/>
  <c r="K6" i="36"/>
  <c r="L6" i="36"/>
  <c r="H7" i="36"/>
  <c r="I7" i="36"/>
  <c r="E6" i="36" s="1"/>
  <c r="E14" i="36" s="1"/>
  <c r="J7" i="36"/>
  <c r="H8" i="36"/>
  <c r="I8" i="36"/>
  <c r="J8" i="36"/>
  <c r="K8" i="36"/>
  <c r="L8" i="36"/>
  <c r="H9" i="36"/>
  <c r="I9" i="36"/>
  <c r="L9" i="36"/>
  <c r="H10" i="36"/>
  <c r="I10" i="36"/>
  <c r="J10" i="36"/>
  <c r="K10" i="36"/>
  <c r="H11" i="36"/>
  <c r="I11" i="36"/>
  <c r="K11" i="36"/>
  <c r="L11" i="36"/>
  <c r="H12" i="36"/>
  <c r="I12" i="36"/>
  <c r="J12" i="36"/>
  <c r="H13" i="36"/>
  <c r="I13" i="36"/>
  <c r="J13" i="36"/>
  <c r="K13" i="36"/>
  <c r="L13" i="36"/>
  <c r="H14" i="36"/>
  <c r="I14" i="36"/>
  <c r="L14" i="36"/>
  <c r="I4" i="36"/>
  <c r="J4" i="36"/>
  <c r="K4" i="36"/>
  <c r="L4" i="36"/>
  <c r="H4" i="36"/>
  <c r="C9" i="16"/>
  <c r="D9" i="16"/>
  <c r="D24" i="16" s="1"/>
  <c r="E9" i="16"/>
  <c r="K9" i="16" s="1"/>
  <c r="C10" i="16"/>
  <c r="I10" i="16"/>
  <c r="D10" i="16"/>
  <c r="E10" i="16"/>
  <c r="C11" i="16"/>
  <c r="I11" i="16"/>
  <c r="D11" i="16"/>
  <c r="D26" i="16" s="1"/>
  <c r="D52" i="16" s="1"/>
  <c r="E11" i="16"/>
  <c r="E26" i="16" s="1"/>
  <c r="K11" i="16"/>
  <c r="W11" i="16" s="1"/>
  <c r="W26" i="16" s="1"/>
  <c r="W52" i="16" s="1"/>
  <c r="C12" i="16"/>
  <c r="I12" i="16" s="1"/>
  <c r="O12" i="16" s="1"/>
  <c r="D12" i="16"/>
  <c r="J12" i="16" s="1"/>
  <c r="P12" i="16"/>
  <c r="P27" i="16" s="1"/>
  <c r="AB12" i="16"/>
  <c r="AH12" i="16" s="1"/>
  <c r="AH27" i="16" s="1"/>
  <c r="E12" i="16"/>
  <c r="K12" i="16" s="1"/>
  <c r="Q12" i="16" s="1"/>
  <c r="AC12" i="16" s="1"/>
  <c r="C13" i="16"/>
  <c r="I13" i="16"/>
  <c r="O13" i="16" s="1"/>
  <c r="AA13" i="16"/>
  <c r="AA28" i="16" s="1"/>
  <c r="AA54" i="16" s="1"/>
  <c r="E13" i="16"/>
  <c r="C14" i="16"/>
  <c r="D14" i="16"/>
  <c r="J14" i="16" s="1"/>
  <c r="E14" i="16"/>
  <c r="K14" i="16" s="1"/>
  <c r="W14" i="16" s="1"/>
  <c r="W29" i="16" s="1"/>
  <c r="W55" i="16" s="1"/>
  <c r="D15" i="16"/>
  <c r="J15" i="16" s="1"/>
  <c r="E15" i="16"/>
  <c r="K15" i="16" s="1"/>
  <c r="W15" i="16" s="1"/>
  <c r="W30" i="16" s="1"/>
  <c r="C16" i="16"/>
  <c r="I16" i="16" s="1"/>
  <c r="D16" i="16"/>
  <c r="J16" i="16" s="1"/>
  <c r="C17" i="16"/>
  <c r="D17" i="16"/>
  <c r="J17" i="16" s="1"/>
  <c r="J32" i="16" s="1"/>
  <c r="P17" i="16"/>
  <c r="P32" i="16" s="1"/>
  <c r="E17" i="16"/>
  <c r="K17" i="16"/>
  <c r="W17" i="16" s="1"/>
  <c r="W32" i="16" s="1"/>
  <c r="W58" i="16" s="1"/>
  <c r="Q17" i="16"/>
  <c r="AC17" i="16" s="1"/>
  <c r="C18" i="16"/>
  <c r="I18" i="16" s="1"/>
  <c r="D18" i="16"/>
  <c r="J18" i="16"/>
  <c r="V18" i="16" s="1"/>
  <c r="V33" i="16" s="1"/>
  <c r="V59" i="16" s="1"/>
  <c r="E18" i="16"/>
  <c r="E33" i="16" s="1"/>
  <c r="B10" i="16"/>
  <c r="B11" i="16"/>
  <c r="H11" i="16" s="1"/>
  <c r="N11" i="16" s="1"/>
  <c r="Z11" i="16"/>
  <c r="B12" i="16"/>
  <c r="H12" i="16"/>
  <c r="N12" i="16" s="1"/>
  <c r="Z12" i="16" s="1"/>
  <c r="B14" i="16"/>
  <c r="B29" i="16" s="1"/>
  <c r="B55" i="16" s="1"/>
  <c r="B15" i="16"/>
  <c r="B16" i="16"/>
  <c r="H16" i="16"/>
  <c r="B17" i="16"/>
  <c r="H17" i="16" s="1"/>
  <c r="B9" i="16"/>
  <c r="H9" i="16"/>
  <c r="H24" i="16" s="1"/>
  <c r="H50" i="16" s="1"/>
  <c r="N9" i="16"/>
  <c r="U12" i="16"/>
  <c r="U27" i="16" s="1"/>
  <c r="U53" i="16" s="1"/>
  <c r="V12" i="16"/>
  <c r="V27" i="16" s="1"/>
  <c r="V53" i="16" s="1"/>
  <c r="W12" i="16"/>
  <c r="W27" i="16" s="1"/>
  <c r="V17" i="16"/>
  <c r="V32" i="16" s="1"/>
  <c r="V58" i="16" s="1"/>
  <c r="T9" i="16"/>
  <c r="T24" i="16" s="1"/>
  <c r="T50" i="16" s="1"/>
  <c r="Q27" i="16"/>
  <c r="O28" i="16"/>
  <c r="Q32" i="16"/>
  <c r="N26" i="16"/>
  <c r="N27" i="16"/>
  <c r="N53" i="16" s="1"/>
  <c r="I25" i="16"/>
  <c r="I26" i="16"/>
  <c r="I52" i="16" s="1"/>
  <c r="I27" i="16"/>
  <c r="J27" i="16"/>
  <c r="K27" i="16"/>
  <c r="K30" i="16"/>
  <c r="K32" i="16"/>
  <c r="J33" i="16"/>
  <c r="J46" i="16" s="1"/>
  <c r="H26" i="16"/>
  <c r="H52" i="16" s="1"/>
  <c r="H32" i="16"/>
  <c r="E24" i="16"/>
  <c r="C25" i="16"/>
  <c r="C38" i="16" s="1"/>
  <c r="C26" i="16"/>
  <c r="C52" i="16" s="1"/>
  <c r="C27" i="16"/>
  <c r="C40" i="16" s="1"/>
  <c r="D27" i="16"/>
  <c r="D53" i="16" s="1"/>
  <c r="E27" i="16"/>
  <c r="C28" i="16"/>
  <c r="C54" i="16" s="1"/>
  <c r="D29" i="16"/>
  <c r="D55" i="16" s="1"/>
  <c r="E29" i="16"/>
  <c r="E42" i="16" s="1"/>
  <c r="D30" i="16"/>
  <c r="C31" i="16"/>
  <c r="D31" i="16"/>
  <c r="D57" i="16" s="1"/>
  <c r="E32" i="16"/>
  <c r="C33" i="16"/>
  <c r="C59" i="16" s="1"/>
  <c r="D33" i="16"/>
  <c r="D46" i="16" s="1"/>
  <c r="B26" i="16"/>
  <c r="B27" i="16"/>
  <c r="B31" i="16"/>
  <c r="B44" i="16" s="1"/>
  <c r="B32" i="16"/>
  <c r="B58" i="16" s="1"/>
  <c r="B24" i="16"/>
  <c r="D16" i="29"/>
  <c r="D36" i="29" s="1"/>
  <c r="E59" i="16"/>
  <c r="E58" i="16"/>
  <c r="D56" i="16"/>
  <c r="E55" i="16"/>
  <c r="E53" i="16"/>
  <c r="C53" i="16"/>
  <c r="B53" i="16"/>
  <c r="B52" i="16"/>
  <c r="B50" i="16"/>
  <c r="E46" i="16"/>
  <c r="E45" i="16"/>
  <c r="D43" i="16"/>
  <c r="B42" i="16"/>
  <c r="C41" i="16"/>
  <c r="E40" i="16"/>
  <c r="B40" i="16"/>
  <c r="C39" i="16"/>
  <c r="B39" i="16"/>
  <c r="B37" i="16"/>
  <c r="E5" i="16"/>
  <c r="AO5" i="16"/>
  <c r="D5" i="16"/>
  <c r="AH5" i="16" s="1"/>
  <c r="C5" i="16"/>
  <c r="B5" i="16"/>
  <c r="AL5" i="16"/>
  <c r="W53" i="16"/>
  <c r="S49" i="16"/>
  <c r="S36" i="16"/>
  <c r="Q5" i="16"/>
  <c r="N5" i="16"/>
  <c r="B27" i="33"/>
  <c r="C25" i="33"/>
  <c r="C26" i="33"/>
  <c r="A4" i="16"/>
  <c r="H2" i="36"/>
  <c r="E1" i="36" s="1"/>
  <c r="A9" i="29"/>
  <c r="H15" i="36"/>
  <c r="J15" i="36"/>
  <c r="K15" i="36"/>
  <c r="F8" i="36" s="1"/>
  <c r="L15" i="36"/>
  <c r="I15" i="36"/>
  <c r="E7" i="36"/>
  <c r="E15" i="36" s="1"/>
  <c r="D9" i="36"/>
  <c r="D17" i="36" s="1"/>
  <c r="D8" i="36"/>
  <c r="D16" i="36" s="1"/>
  <c r="D6" i="36"/>
  <c r="D14" i="36" s="1"/>
  <c r="B15" i="36"/>
  <c r="B16" i="36"/>
  <c r="B17" i="36"/>
  <c r="B14" i="36"/>
  <c r="F6" i="36"/>
  <c r="F14" i="36" s="1"/>
  <c r="F7" i="36"/>
  <c r="F15" i="36"/>
  <c r="F16" i="36"/>
  <c r="F9" i="36"/>
  <c r="F17" i="36" s="1"/>
  <c r="C7" i="36"/>
  <c r="C15" i="36" s="1"/>
  <c r="C6" i="36"/>
  <c r="C14" i="36"/>
  <c r="E13" i="36"/>
  <c r="D13" i="36"/>
  <c r="H46" i="32"/>
  <c r="H44" i="32"/>
  <c r="E44" i="32" s="1"/>
  <c r="H47" i="32"/>
  <c r="H45" i="32"/>
  <c r="J45" i="32" s="1"/>
  <c r="H42" i="32"/>
  <c r="J42" i="32" s="1"/>
  <c r="H40" i="32"/>
  <c r="E40" i="32" s="1"/>
  <c r="H43" i="32"/>
  <c r="J43" i="32" s="1"/>
  <c r="H41" i="32"/>
  <c r="J41" i="32" s="1"/>
  <c r="H37" i="32"/>
  <c r="J37" i="32" s="1"/>
  <c r="H35" i="32"/>
  <c r="E35" i="32" s="1"/>
  <c r="H38" i="32"/>
  <c r="H39" i="32"/>
  <c r="H36" i="32"/>
  <c r="J36" i="32"/>
  <c r="H32" i="32"/>
  <c r="H30" i="32"/>
  <c r="C30" i="32" s="1"/>
  <c r="H33" i="32"/>
  <c r="H34" i="32"/>
  <c r="H31" i="32"/>
  <c r="J31" i="32" s="1"/>
  <c r="G44" i="32"/>
  <c r="C44" i="32"/>
  <c r="B44" i="32"/>
  <c r="G40" i="32"/>
  <c r="F40" i="32"/>
  <c r="C40" i="32"/>
  <c r="B40" i="32"/>
  <c r="G35" i="32"/>
  <c r="C35" i="32"/>
  <c r="B35" i="32"/>
  <c r="C7" i="32"/>
  <c r="H24" i="32" s="1"/>
  <c r="G47" i="32"/>
  <c r="F47" i="32"/>
  <c r="E47" i="32"/>
  <c r="D47" i="32"/>
  <c r="C47" i="32"/>
  <c r="B47" i="32"/>
  <c r="G46" i="32"/>
  <c r="F46" i="32"/>
  <c r="E46" i="32"/>
  <c r="D46" i="32"/>
  <c r="C46" i="32"/>
  <c r="B46" i="32"/>
  <c r="A46" i="32"/>
  <c r="G45" i="32"/>
  <c r="F45" i="32"/>
  <c r="E45" i="32"/>
  <c r="D45" i="32"/>
  <c r="C45" i="32"/>
  <c r="B45" i="32"/>
  <c r="A45" i="32"/>
  <c r="C6" i="32"/>
  <c r="H20" i="32" s="1"/>
  <c r="G43" i="32"/>
  <c r="F43" i="32"/>
  <c r="E43" i="32"/>
  <c r="D43" i="32"/>
  <c r="C43" i="32"/>
  <c r="B43" i="32"/>
  <c r="G42" i="32"/>
  <c r="F42" i="32"/>
  <c r="E42" i="32"/>
  <c r="D42" i="32"/>
  <c r="C42" i="32"/>
  <c r="B42" i="32"/>
  <c r="G41" i="32"/>
  <c r="F41" i="32"/>
  <c r="E41" i="32"/>
  <c r="D41" i="32"/>
  <c r="C41" i="32"/>
  <c r="B41" i="32"/>
  <c r="A36" i="32"/>
  <c r="A41" i="32"/>
  <c r="C5" i="32"/>
  <c r="H15" i="32" s="1"/>
  <c r="G39" i="32"/>
  <c r="F39" i="32"/>
  <c r="E39" i="32"/>
  <c r="D39" i="32"/>
  <c r="C39" i="32"/>
  <c r="B39" i="32"/>
  <c r="G38" i="32"/>
  <c r="F38" i="32"/>
  <c r="E38" i="32"/>
  <c r="D38" i="32"/>
  <c r="C38" i="32"/>
  <c r="B38" i="32"/>
  <c r="A38" i="32"/>
  <c r="G37" i="32"/>
  <c r="F37" i="32"/>
  <c r="E37" i="32"/>
  <c r="D37" i="32"/>
  <c r="C37" i="32"/>
  <c r="B37" i="32"/>
  <c r="G36" i="32"/>
  <c r="F36" i="32"/>
  <c r="E36" i="32"/>
  <c r="D36" i="32"/>
  <c r="C36" i="32"/>
  <c r="B36" i="32"/>
  <c r="C4" i="32"/>
  <c r="H10" i="32" s="1"/>
  <c r="J11" i="32" s="1"/>
  <c r="G34" i="32"/>
  <c r="F34" i="32"/>
  <c r="E34" i="32"/>
  <c r="D34" i="32"/>
  <c r="C34" i="32"/>
  <c r="B34" i="32"/>
  <c r="G33" i="32"/>
  <c r="F33" i="32"/>
  <c r="E33" i="32"/>
  <c r="D33" i="32"/>
  <c r="C33" i="32"/>
  <c r="B33" i="32"/>
  <c r="G32" i="32"/>
  <c r="F32" i="32"/>
  <c r="E32" i="32"/>
  <c r="D32" i="32"/>
  <c r="C32" i="32"/>
  <c r="B32" i="32"/>
  <c r="G31" i="32"/>
  <c r="F31" i="32"/>
  <c r="E31" i="32"/>
  <c r="D31" i="32"/>
  <c r="C31" i="32"/>
  <c r="B31" i="32"/>
  <c r="A9" i="32"/>
  <c r="H26" i="32"/>
  <c r="H27" i="32"/>
  <c r="H25" i="32"/>
  <c r="H22" i="32"/>
  <c r="H23" i="32"/>
  <c r="H21" i="32"/>
  <c r="H17" i="32"/>
  <c r="H18" i="32"/>
  <c r="H19" i="32"/>
  <c r="H16" i="32"/>
  <c r="H12" i="32"/>
  <c r="H13" i="32"/>
  <c r="H14" i="32"/>
  <c r="H11" i="32"/>
  <c r="M12" i="32"/>
  <c r="M13" i="32"/>
  <c r="M14" i="32"/>
  <c r="AK36" i="16"/>
  <c r="AE36" i="16"/>
  <c r="Y36" i="16"/>
  <c r="M36" i="16"/>
  <c r="AK49" i="16"/>
  <c r="AE49" i="16"/>
  <c r="Y49" i="16"/>
  <c r="M49" i="16"/>
  <c r="AI5" i="16"/>
  <c r="AF5" i="16"/>
  <c r="AC5" i="16"/>
  <c r="AA5" i="16"/>
  <c r="Z5" i="16"/>
  <c r="W5" i="16"/>
  <c r="T5" i="16"/>
  <c r="K5" i="16"/>
  <c r="I5" i="16"/>
  <c r="H5" i="16"/>
  <c r="AH53" i="16"/>
  <c r="Q58" i="16"/>
  <c r="O54" i="16"/>
  <c r="Q53" i="16"/>
  <c r="N52" i="16"/>
  <c r="J59" i="16"/>
  <c r="K58" i="16"/>
  <c r="H58" i="16"/>
  <c r="K56" i="16"/>
  <c r="K53" i="16"/>
  <c r="J53" i="16"/>
  <c r="I53" i="16"/>
  <c r="I51" i="16"/>
  <c r="AH40" i="16"/>
  <c r="Q45" i="16"/>
  <c r="O41" i="16"/>
  <c r="Q40" i="16"/>
  <c r="N39" i="16"/>
  <c r="K45" i="16"/>
  <c r="H45" i="16"/>
  <c r="K43" i="16"/>
  <c r="K40" i="16"/>
  <c r="J40" i="16"/>
  <c r="I40" i="16"/>
  <c r="I39" i="16"/>
  <c r="I38" i="16"/>
  <c r="H37" i="16"/>
  <c r="G5" i="29"/>
  <c r="G6" i="29"/>
  <c r="G7" i="29"/>
  <c r="G8" i="29"/>
  <c r="G9" i="29"/>
  <c r="G10" i="29"/>
  <c r="G11" i="29"/>
  <c r="G12" i="29"/>
  <c r="G13" i="29"/>
  <c r="G4" i="29"/>
  <c r="E53" i="29"/>
  <c r="E52" i="29"/>
  <c r="E51" i="29"/>
  <c r="E50" i="29"/>
  <c r="E49" i="29"/>
  <c r="E48" i="29"/>
  <c r="E47" i="29"/>
  <c r="E46" i="29"/>
  <c r="E45" i="29"/>
  <c r="E44" i="29"/>
  <c r="E43" i="29"/>
  <c r="E42" i="29"/>
  <c r="E41" i="29"/>
  <c r="E40" i="29"/>
  <c r="E39" i="29"/>
  <c r="E38" i="29"/>
  <c r="E37" i="29"/>
  <c r="D53" i="29"/>
  <c r="I53" i="29" s="1"/>
  <c r="D52" i="29"/>
  <c r="D51" i="29"/>
  <c r="G51" i="29" s="1"/>
  <c r="D50" i="29"/>
  <c r="G50" i="29" s="1"/>
  <c r="D49" i="29"/>
  <c r="I49" i="29" s="1"/>
  <c r="D48" i="29"/>
  <c r="D47" i="29"/>
  <c r="G47" i="29" s="1"/>
  <c r="D46" i="29"/>
  <c r="D45" i="29"/>
  <c r="G45" i="29" s="1"/>
  <c r="D44" i="29"/>
  <c r="I44" i="29" s="1"/>
  <c r="D43" i="29"/>
  <c r="D42" i="29"/>
  <c r="H42" i="29" s="1"/>
  <c r="D41" i="29"/>
  <c r="D40" i="29"/>
  <c r="G40" i="29" s="1"/>
  <c r="D39" i="29"/>
  <c r="I39" i="29" s="1"/>
  <c r="D38" i="29"/>
  <c r="F38" i="29" s="1"/>
  <c r="D37" i="29"/>
  <c r="A15" i="29"/>
  <c r="E33" i="29"/>
  <c r="E32" i="29"/>
  <c r="E31" i="29"/>
  <c r="E30" i="29"/>
  <c r="E29" i="29"/>
  <c r="E28" i="29"/>
  <c r="E27" i="29"/>
  <c r="E26" i="29"/>
  <c r="E25" i="29"/>
  <c r="E24" i="29"/>
  <c r="E23" i="29"/>
  <c r="E22" i="29"/>
  <c r="E21" i="29"/>
  <c r="E20" i="29"/>
  <c r="E18" i="29"/>
  <c r="E19" i="29"/>
  <c r="E17" i="29"/>
  <c r="C4" i="29"/>
  <c r="C7" i="29"/>
  <c r="D30" i="29" s="1"/>
  <c r="I30" i="29" s="1"/>
  <c r="C6" i="29"/>
  <c r="D22" i="29" s="1"/>
  <c r="C5" i="29"/>
  <c r="D20" i="29" s="1"/>
  <c r="I20" i="29" s="1"/>
  <c r="D19" i="29"/>
  <c r="C13" i="29"/>
  <c r="D13" i="29"/>
  <c r="E13" i="29"/>
  <c r="B13" i="29"/>
  <c r="C12" i="29"/>
  <c r="D12" i="29"/>
  <c r="E12" i="29"/>
  <c r="B12" i="29"/>
  <c r="F37" i="29"/>
  <c r="J37" i="29"/>
  <c r="I37" i="29"/>
  <c r="H37" i="29"/>
  <c r="Q37" i="29"/>
  <c r="G37" i="29"/>
  <c r="F39" i="29"/>
  <c r="F42" i="29"/>
  <c r="F44" i="29"/>
  <c r="F47" i="29"/>
  <c r="F48" i="29"/>
  <c r="F49" i="29"/>
  <c r="F52" i="29"/>
  <c r="F53" i="29"/>
  <c r="J53" i="29"/>
  <c r="H53" i="29"/>
  <c r="G53" i="29"/>
  <c r="P53" i="29"/>
  <c r="J52" i="29"/>
  <c r="I52" i="29"/>
  <c r="H52" i="29"/>
  <c r="G52" i="29"/>
  <c r="H50" i="29"/>
  <c r="J49" i="29"/>
  <c r="G49" i="29"/>
  <c r="I48" i="29"/>
  <c r="H48" i="29"/>
  <c r="J47" i="29"/>
  <c r="H47" i="29"/>
  <c r="I46" i="29"/>
  <c r="H44" i="29"/>
  <c r="G44" i="29"/>
  <c r="J43" i="29"/>
  <c r="I43" i="29"/>
  <c r="G43" i="29"/>
  <c r="J42" i="29"/>
  <c r="I42" i="29"/>
  <c r="G42" i="29"/>
  <c r="I41" i="29"/>
  <c r="G41" i="29"/>
  <c r="J38" i="29"/>
  <c r="I38" i="29"/>
  <c r="H38" i="29"/>
  <c r="G38" i="29"/>
  <c r="M11" i="32"/>
  <c r="M15" i="32"/>
  <c r="M16" i="32"/>
  <c r="M17" i="32"/>
  <c r="M18" i="32"/>
  <c r="M19" i="32"/>
  <c r="M10" i="32"/>
  <c r="C14" i="32"/>
  <c r="D14" i="32"/>
  <c r="E14" i="32"/>
  <c r="F14" i="32"/>
  <c r="G14" i="32"/>
  <c r="C26" i="32"/>
  <c r="D26" i="32"/>
  <c r="E26" i="32"/>
  <c r="F26" i="32"/>
  <c r="G26" i="32"/>
  <c r="B26" i="32"/>
  <c r="C25" i="32"/>
  <c r="D25" i="32"/>
  <c r="E25" i="32"/>
  <c r="F25" i="32"/>
  <c r="G25" i="32"/>
  <c r="B25" i="32"/>
  <c r="C22" i="32"/>
  <c r="D22" i="32"/>
  <c r="E22" i="32"/>
  <c r="F22" i="32"/>
  <c r="G22" i="32"/>
  <c r="B22" i="32"/>
  <c r="C21" i="32"/>
  <c r="D21" i="32"/>
  <c r="E21" i="32"/>
  <c r="F21" i="32"/>
  <c r="G21" i="32"/>
  <c r="B21" i="32"/>
  <c r="C19" i="32"/>
  <c r="D19" i="32"/>
  <c r="E19" i="32"/>
  <c r="F19" i="32"/>
  <c r="G19" i="32"/>
  <c r="C23" i="32"/>
  <c r="D23" i="32"/>
  <c r="E23" i="32"/>
  <c r="F23" i="32"/>
  <c r="G23" i="32"/>
  <c r="C27" i="32"/>
  <c r="D27" i="32"/>
  <c r="E27" i="32"/>
  <c r="F27" i="32"/>
  <c r="G27" i="32"/>
  <c r="B27" i="32"/>
  <c r="B23" i="32"/>
  <c r="B19" i="32"/>
  <c r="C18" i="32"/>
  <c r="D18" i="32"/>
  <c r="E18" i="32"/>
  <c r="F18" i="32"/>
  <c r="G18" i="32"/>
  <c r="B18" i="32"/>
  <c r="C16" i="32"/>
  <c r="D16" i="32"/>
  <c r="E16" i="32"/>
  <c r="F16" i="32"/>
  <c r="G16" i="32"/>
  <c r="B16" i="32"/>
  <c r="C17" i="32"/>
  <c r="D17" i="32"/>
  <c r="E17" i="32"/>
  <c r="F17" i="32"/>
  <c r="G17" i="32"/>
  <c r="B17" i="32"/>
  <c r="B14" i="32"/>
  <c r="C13" i="32"/>
  <c r="D13" i="32"/>
  <c r="E13" i="32"/>
  <c r="F13" i="32"/>
  <c r="G13" i="32"/>
  <c r="B13" i="32"/>
  <c r="C12" i="32"/>
  <c r="D12" i="32"/>
  <c r="E12" i="32"/>
  <c r="F12" i="32"/>
  <c r="G12" i="32"/>
  <c r="B12" i="32"/>
  <c r="C11" i="32"/>
  <c r="D11" i="32"/>
  <c r="E11" i="32"/>
  <c r="F11" i="32"/>
  <c r="G11" i="32"/>
  <c r="B11" i="32"/>
  <c r="A16" i="32"/>
  <c r="A21" i="32"/>
  <c r="A18" i="32"/>
  <c r="A26" i="32"/>
  <c r="A25" i="32"/>
  <c r="H4" i="34"/>
  <c r="H5" i="34"/>
  <c r="H6" i="34"/>
  <c r="H7" i="34"/>
  <c r="H8" i="34"/>
  <c r="H9" i="34"/>
  <c r="H10" i="34"/>
  <c r="H11" i="34"/>
  <c r="H12" i="34"/>
  <c r="H3" i="34"/>
  <c r="B35" i="34"/>
  <c r="C10" i="34"/>
  <c r="C27" i="34" s="1"/>
  <c r="C22" i="34"/>
  <c r="C9" i="34"/>
  <c r="B27" i="34" s="1"/>
  <c r="B22" i="34"/>
  <c r="F17" i="12"/>
  <c r="D26" i="34" s="1"/>
  <c r="D39" i="34" s="1"/>
  <c r="D38" i="34"/>
  <c r="D43" i="34" s="1"/>
  <c r="G17" i="12"/>
  <c r="E26" i="34"/>
  <c r="E37" i="34"/>
  <c r="E42" i="34" s="1"/>
  <c r="D37" i="34"/>
  <c r="D42" i="34" s="1"/>
  <c r="D25" i="34"/>
  <c r="E25" i="34"/>
  <c r="C25" i="34"/>
  <c r="B25" i="34"/>
  <c r="D24" i="34"/>
  <c r="E24" i="34"/>
  <c r="C24" i="34"/>
  <c r="B24" i="34"/>
  <c r="B23" i="34"/>
  <c r="C23" i="34"/>
  <c r="D22" i="34"/>
  <c r="E22" i="34"/>
  <c r="C12" i="34"/>
  <c r="E27" i="34" s="1"/>
  <c r="E29" i="34" s="1"/>
  <c r="E32" i="34" s="1"/>
  <c r="C11" i="34"/>
  <c r="D27" i="34" s="1"/>
  <c r="D1" i="34"/>
  <c r="D23" i="34"/>
  <c r="E23" i="34"/>
  <c r="D17" i="12"/>
  <c r="B26" i="34"/>
  <c r="E17" i="12"/>
  <c r="C26" i="34"/>
  <c r="D44" i="34"/>
  <c r="D49" i="34" s="1"/>
  <c r="D47" i="34"/>
  <c r="D52" i="34"/>
  <c r="D54" i="34"/>
  <c r="C17" i="12"/>
  <c r="B17" i="12"/>
  <c r="H17" i="12"/>
  <c r="I17" i="12"/>
  <c r="J17" i="12"/>
  <c r="I5" i="33"/>
  <c r="L18" i="29" s="1"/>
  <c r="I6" i="33"/>
  <c r="L19" i="29" s="1"/>
  <c r="I19" i="33"/>
  <c r="L32" i="29" s="1"/>
  <c r="I20" i="33"/>
  <c r="L33" i="29" s="1"/>
  <c r="L53" i="29" s="1"/>
  <c r="M53" i="29" s="1"/>
  <c r="S53" i="29" s="1"/>
  <c r="I4" i="33"/>
  <c r="L17" i="29" s="1"/>
  <c r="L37" i="29" s="1"/>
  <c r="M37" i="29" s="1"/>
  <c r="J20" i="33"/>
  <c r="J6" i="33"/>
  <c r="J5" i="33"/>
  <c r="J4" i="33"/>
  <c r="D43" i="13"/>
  <c r="D79" i="13" s="1"/>
  <c r="E43" i="13"/>
  <c r="E79" i="13"/>
  <c r="F43" i="13"/>
  <c r="F79" i="13" s="1"/>
  <c r="G43" i="13"/>
  <c r="G79" i="13"/>
  <c r="H43" i="13"/>
  <c r="H79" i="13"/>
  <c r="I43" i="13"/>
  <c r="I79" i="13" s="1"/>
  <c r="J43" i="13"/>
  <c r="J79" i="13"/>
  <c r="K43" i="13"/>
  <c r="K79" i="13"/>
  <c r="L43" i="13"/>
  <c r="L79" i="13"/>
  <c r="M43" i="13"/>
  <c r="M79" i="13"/>
  <c r="N43" i="13"/>
  <c r="N79" i="13" s="1"/>
  <c r="O43" i="13"/>
  <c r="O79" i="13"/>
  <c r="P43" i="13"/>
  <c r="P79" i="13"/>
  <c r="Q43" i="13"/>
  <c r="Q79" i="13"/>
  <c r="R43" i="13"/>
  <c r="R79" i="13" s="1"/>
  <c r="S43" i="13"/>
  <c r="S79" i="13" s="1"/>
  <c r="T43" i="13"/>
  <c r="T79" i="13"/>
  <c r="U43" i="13"/>
  <c r="U79" i="13" s="1"/>
  <c r="D44" i="13"/>
  <c r="D80" i="13"/>
  <c r="E44" i="13"/>
  <c r="E80" i="13"/>
  <c r="F44" i="13"/>
  <c r="F80" i="13" s="1"/>
  <c r="G44" i="13"/>
  <c r="G80" i="13"/>
  <c r="H44" i="13"/>
  <c r="H80" i="13"/>
  <c r="I44" i="13"/>
  <c r="I80" i="13"/>
  <c r="J44" i="13"/>
  <c r="J62" i="13" s="1"/>
  <c r="K44" i="13"/>
  <c r="K80" i="13" s="1"/>
  <c r="L44" i="13"/>
  <c r="L80" i="13"/>
  <c r="M44" i="13"/>
  <c r="M80" i="13" s="1"/>
  <c r="N44" i="13"/>
  <c r="N80" i="13"/>
  <c r="O44" i="13"/>
  <c r="O80" i="13"/>
  <c r="P44" i="13"/>
  <c r="P80" i="13" s="1"/>
  <c r="Q44" i="13"/>
  <c r="Q80" i="13"/>
  <c r="R44" i="13"/>
  <c r="R80" i="13"/>
  <c r="S44" i="13"/>
  <c r="S80" i="13"/>
  <c r="T44" i="13"/>
  <c r="T80" i="13"/>
  <c r="U44" i="13"/>
  <c r="U80" i="13" s="1"/>
  <c r="D45" i="13"/>
  <c r="D81" i="13"/>
  <c r="E45" i="13"/>
  <c r="E81" i="13"/>
  <c r="F45" i="13"/>
  <c r="F81" i="13"/>
  <c r="G45" i="13"/>
  <c r="G81" i="13" s="1"/>
  <c r="H45" i="13"/>
  <c r="H81" i="13" s="1"/>
  <c r="I45" i="13"/>
  <c r="I81" i="13"/>
  <c r="J45" i="13"/>
  <c r="J81" i="13" s="1"/>
  <c r="K45" i="13"/>
  <c r="K81" i="13"/>
  <c r="L45" i="13"/>
  <c r="L81" i="13"/>
  <c r="M45" i="13"/>
  <c r="M81" i="13" s="1"/>
  <c r="N45" i="13"/>
  <c r="N81" i="13"/>
  <c r="O45" i="13"/>
  <c r="O81" i="13"/>
  <c r="P45" i="13"/>
  <c r="P81" i="13"/>
  <c r="Q45" i="13"/>
  <c r="Q63" i="13" s="1"/>
  <c r="R45" i="13"/>
  <c r="R81" i="13" s="1"/>
  <c r="S45" i="13"/>
  <c r="S81" i="13"/>
  <c r="T45" i="13"/>
  <c r="T81" i="13" s="1"/>
  <c r="U45" i="13"/>
  <c r="U81" i="13"/>
  <c r="D46" i="13"/>
  <c r="D82" i="13"/>
  <c r="E46" i="13"/>
  <c r="E82" i="13" s="1"/>
  <c r="F46" i="13"/>
  <c r="F82" i="13"/>
  <c r="G46" i="13"/>
  <c r="G82" i="13"/>
  <c r="H46" i="13"/>
  <c r="H82" i="13"/>
  <c r="I46" i="13"/>
  <c r="I82" i="13"/>
  <c r="J46" i="13"/>
  <c r="J82" i="13" s="1"/>
  <c r="K46" i="13"/>
  <c r="K82" i="13"/>
  <c r="L46" i="13"/>
  <c r="L82" i="13"/>
  <c r="M46" i="13"/>
  <c r="M82" i="13"/>
  <c r="N46" i="13"/>
  <c r="N82" i="13" s="1"/>
  <c r="O46" i="13"/>
  <c r="O82" i="13" s="1"/>
  <c r="P46" i="13"/>
  <c r="P82" i="13"/>
  <c r="Q46" i="13"/>
  <c r="Q82" i="13" s="1"/>
  <c r="R46" i="13"/>
  <c r="R82" i="13"/>
  <c r="S46" i="13"/>
  <c r="S82" i="13"/>
  <c r="T46" i="13"/>
  <c r="T82" i="13" s="1"/>
  <c r="U46" i="13"/>
  <c r="U82" i="13"/>
  <c r="D47" i="13"/>
  <c r="D83" i="13"/>
  <c r="E47" i="13"/>
  <c r="E83" i="13"/>
  <c r="F47" i="13"/>
  <c r="F65" i="13" s="1"/>
  <c r="G47" i="13"/>
  <c r="G83" i="13" s="1"/>
  <c r="H47" i="13"/>
  <c r="H83" i="13"/>
  <c r="I47" i="13"/>
  <c r="I83" i="13" s="1"/>
  <c r="J47" i="13"/>
  <c r="J83" i="13"/>
  <c r="K47" i="13"/>
  <c r="K83" i="13"/>
  <c r="L47" i="13"/>
  <c r="L83" i="13" s="1"/>
  <c r="M47" i="13"/>
  <c r="M83" i="13"/>
  <c r="N47" i="13"/>
  <c r="N83" i="13"/>
  <c r="O47" i="13"/>
  <c r="O83" i="13"/>
  <c r="P47" i="13"/>
  <c r="P83" i="13"/>
  <c r="Q47" i="13"/>
  <c r="Q83" i="13" s="1"/>
  <c r="R47" i="13"/>
  <c r="R83" i="13"/>
  <c r="S47" i="13"/>
  <c r="S83" i="13"/>
  <c r="T47" i="13"/>
  <c r="T83" i="13"/>
  <c r="U47" i="13"/>
  <c r="U83" i="13" s="1"/>
  <c r="D48" i="13"/>
  <c r="D84" i="13" s="1"/>
  <c r="E48" i="13"/>
  <c r="E84" i="13"/>
  <c r="F48" i="13"/>
  <c r="F84" i="13" s="1"/>
  <c r="G48" i="13"/>
  <c r="G84" i="13"/>
  <c r="H48" i="13"/>
  <c r="H84" i="13"/>
  <c r="I48" i="13"/>
  <c r="I84" i="13" s="1"/>
  <c r="J48" i="13"/>
  <c r="J84" i="13"/>
  <c r="K48" i="13"/>
  <c r="K84" i="13"/>
  <c r="L48" i="13"/>
  <c r="L84" i="13"/>
  <c r="M48" i="13"/>
  <c r="M66" i="13" s="1"/>
  <c r="N48" i="13"/>
  <c r="N84" i="13" s="1"/>
  <c r="O48" i="13"/>
  <c r="O84" i="13"/>
  <c r="P48" i="13"/>
  <c r="P84" i="13" s="1"/>
  <c r="Q48" i="13"/>
  <c r="Q84" i="13"/>
  <c r="R48" i="13"/>
  <c r="R84" i="13"/>
  <c r="S48" i="13"/>
  <c r="S84" i="13" s="1"/>
  <c r="T48" i="13"/>
  <c r="T84" i="13"/>
  <c r="U48" i="13"/>
  <c r="U84" i="13"/>
  <c r="D49" i="13"/>
  <c r="D85" i="13"/>
  <c r="E49" i="13"/>
  <c r="E85" i="13"/>
  <c r="F49" i="13"/>
  <c r="F85" i="13" s="1"/>
  <c r="G49" i="13"/>
  <c r="G85" i="13"/>
  <c r="H49" i="13"/>
  <c r="H85" i="13"/>
  <c r="I49" i="13"/>
  <c r="I85" i="13"/>
  <c r="J49" i="13"/>
  <c r="J85" i="13" s="1"/>
  <c r="K49" i="13"/>
  <c r="K85" i="13" s="1"/>
  <c r="L49" i="13"/>
  <c r="L85" i="13"/>
  <c r="M49" i="13"/>
  <c r="M85" i="13" s="1"/>
  <c r="N49" i="13"/>
  <c r="N85" i="13"/>
  <c r="O49" i="13"/>
  <c r="O85" i="13"/>
  <c r="P49" i="13"/>
  <c r="P85" i="13" s="1"/>
  <c r="Q49" i="13"/>
  <c r="Q85" i="13"/>
  <c r="R49" i="13"/>
  <c r="R85" i="13"/>
  <c r="S49" i="13"/>
  <c r="S85" i="13"/>
  <c r="T49" i="13"/>
  <c r="T67" i="13" s="1"/>
  <c r="U49" i="13"/>
  <c r="U85" i="13" s="1"/>
  <c r="D50" i="13"/>
  <c r="D86" i="13"/>
  <c r="E50" i="13"/>
  <c r="E86" i="13" s="1"/>
  <c r="F50" i="13"/>
  <c r="F86" i="13"/>
  <c r="G50" i="13"/>
  <c r="G86" i="13"/>
  <c r="H50" i="13"/>
  <c r="H86" i="13" s="1"/>
  <c r="I50" i="13"/>
  <c r="I86" i="13" s="1"/>
  <c r="J50" i="13"/>
  <c r="J86" i="13"/>
  <c r="K50" i="13"/>
  <c r="K86" i="13"/>
  <c r="L50" i="13"/>
  <c r="L86" i="13"/>
  <c r="M50" i="13"/>
  <c r="M86" i="13" s="1"/>
  <c r="N50" i="13"/>
  <c r="N86" i="13"/>
  <c r="O50" i="13"/>
  <c r="O86" i="13"/>
  <c r="P50" i="13"/>
  <c r="P86" i="13"/>
  <c r="Q50" i="13"/>
  <c r="Q86" i="13" s="1"/>
  <c r="R50" i="13"/>
  <c r="R86" i="13" s="1"/>
  <c r="S50" i="13"/>
  <c r="S86" i="13" s="1"/>
  <c r="T50" i="13"/>
  <c r="T86" i="13" s="1"/>
  <c r="U50" i="13"/>
  <c r="U86" i="13"/>
  <c r="D37" i="13"/>
  <c r="D73" i="13"/>
  <c r="E37" i="13"/>
  <c r="E73" i="13" s="1"/>
  <c r="F37" i="13"/>
  <c r="F73" i="13"/>
  <c r="G37" i="13"/>
  <c r="G73" i="13"/>
  <c r="H37" i="13"/>
  <c r="H73" i="13"/>
  <c r="I37" i="13"/>
  <c r="I55" i="13" s="1"/>
  <c r="J37" i="13"/>
  <c r="J73" i="13" s="1"/>
  <c r="K37" i="13"/>
  <c r="K73" i="13"/>
  <c r="L37" i="13"/>
  <c r="L73" i="13"/>
  <c r="M37" i="13"/>
  <c r="M73" i="13"/>
  <c r="N37" i="13"/>
  <c r="N55" i="13" s="1"/>
  <c r="O37" i="13"/>
  <c r="O73" i="13" s="1"/>
  <c r="P37" i="13"/>
  <c r="P73" i="13"/>
  <c r="Q37" i="13"/>
  <c r="Q73" i="13"/>
  <c r="R37" i="13"/>
  <c r="R73" i="13"/>
  <c r="S37" i="13"/>
  <c r="S55" i="13" s="1"/>
  <c r="T37" i="13"/>
  <c r="T73" i="13" s="1"/>
  <c r="U37" i="13"/>
  <c r="U73" i="13"/>
  <c r="D38" i="13"/>
  <c r="D74" i="13"/>
  <c r="E38" i="13"/>
  <c r="E74" i="13"/>
  <c r="F38" i="13"/>
  <c r="F56" i="13" s="1"/>
  <c r="G38" i="13"/>
  <c r="G74" i="13" s="1"/>
  <c r="H38" i="13"/>
  <c r="H74" i="13"/>
  <c r="I38" i="13"/>
  <c r="I74" i="13"/>
  <c r="J38" i="13"/>
  <c r="J74" i="13"/>
  <c r="K38" i="13"/>
  <c r="K56" i="13" s="1"/>
  <c r="L38" i="13"/>
  <c r="L74" i="13" s="1"/>
  <c r="M38" i="13"/>
  <c r="M74" i="13"/>
  <c r="N38" i="13"/>
  <c r="N74" i="13"/>
  <c r="O38" i="13"/>
  <c r="O74" i="13"/>
  <c r="P38" i="13"/>
  <c r="P56" i="13" s="1"/>
  <c r="Q38" i="13"/>
  <c r="Q74" i="13" s="1"/>
  <c r="R38" i="13"/>
  <c r="R74" i="13"/>
  <c r="S38" i="13"/>
  <c r="S74" i="13"/>
  <c r="T38" i="13"/>
  <c r="T74" i="13"/>
  <c r="U38" i="13"/>
  <c r="U56" i="13" s="1"/>
  <c r="D39" i="13"/>
  <c r="D75" i="13" s="1"/>
  <c r="E39" i="13"/>
  <c r="E75" i="13"/>
  <c r="F39" i="13"/>
  <c r="F75" i="13"/>
  <c r="G39" i="13"/>
  <c r="G75" i="13"/>
  <c r="H39" i="13"/>
  <c r="H57" i="13" s="1"/>
  <c r="I39" i="13"/>
  <c r="I75" i="13" s="1"/>
  <c r="J39" i="13"/>
  <c r="J75" i="13"/>
  <c r="K39" i="13"/>
  <c r="K75" i="13"/>
  <c r="L39" i="13"/>
  <c r="L75" i="13"/>
  <c r="M39" i="13"/>
  <c r="M57" i="13" s="1"/>
  <c r="N39" i="13"/>
  <c r="N75" i="13" s="1"/>
  <c r="O39" i="13"/>
  <c r="O75" i="13"/>
  <c r="P39" i="13"/>
  <c r="P75" i="13"/>
  <c r="Q39" i="13"/>
  <c r="Q75" i="13"/>
  <c r="R39" i="13"/>
  <c r="R57" i="13" s="1"/>
  <c r="S39" i="13"/>
  <c r="S75" i="13" s="1"/>
  <c r="T39" i="13"/>
  <c r="T75" i="13"/>
  <c r="U39" i="13"/>
  <c r="U75" i="13"/>
  <c r="D40" i="13"/>
  <c r="D76" i="13" s="1"/>
  <c r="E40" i="13"/>
  <c r="E58" i="13" s="1"/>
  <c r="F40" i="13"/>
  <c r="F76" i="13" s="1"/>
  <c r="G40" i="13"/>
  <c r="G76" i="13"/>
  <c r="H40" i="13"/>
  <c r="H76" i="13"/>
  <c r="I40" i="13"/>
  <c r="I76" i="13" s="1"/>
  <c r="J40" i="13"/>
  <c r="J58" i="13" s="1"/>
  <c r="K40" i="13"/>
  <c r="K76" i="13" s="1"/>
  <c r="L40" i="13"/>
  <c r="L76" i="13"/>
  <c r="M40" i="13"/>
  <c r="M76" i="13"/>
  <c r="N40" i="13"/>
  <c r="N76" i="13" s="1"/>
  <c r="O40" i="13"/>
  <c r="O58" i="13" s="1"/>
  <c r="P40" i="13"/>
  <c r="P76" i="13" s="1"/>
  <c r="Q40" i="13"/>
  <c r="Q76" i="13"/>
  <c r="R40" i="13"/>
  <c r="R76" i="13"/>
  <c r="S40" i="13"/>
  <c r="S76" i="13" s="1"/>
  <c r="T40" i="13"/>
  <c r="T58" i="13" s="1"/>
  <c r="U40" i="13"/>
  <c r="U76" i="13" s="1"/>
  <c r="D41" i="13"/>
  <c r="D77" i="13"/>
  <c r="E41" i="13"/>
  <c r="E77" i="13"/>
  <c r="F41" i="13"/>
  <c r="F77" i="13" s="1"/>
  <c r="G41" i="13"/>
  <c r="G59" i="13" s="1"/>
  <c r="H41" i="13"/>
  <c r="H77" i="13" s="1"/>
  <c r="I41" i="13"/>
  <c r="I77" i="13"/>
  <c r="J41" i="13"/>
  <c r="J77" i="13"/>
  <c r="K41" i="13"/>
  <c r="K77" i="13" s="1"/>
  <c r="L41" i="13"/>
  <c r="L59" i="13" s="1"/>
  <c r="M41" i="13"/>
  <c r="M77" i="13" s="1"/>
  <c r="N41" i="13"/>
  <c r="N77" i="13"/>
  <c r="O41" i="13"/>
  <c r="O77" i="13"/>
  <c r="P41" i="13"/>
  <c r="P77" i="13" s="1"/>
  <c r="Q41" i="13"/>
  <c r="Q59" i="13" s="1"/>
  <c r="R41" i="13"/>
  <c r="R77" i="13" s="1"/>
  <c r="S41" i="13"/>
  <c r="S77" i="13"/>
  <c r="T41" i="13"/>
  <c r="T77" i="13"/>
  <c r="U41" i="13"/>
  <c r="U77" i="13" s="1"/>
  <c r="E61" i="13"/>
  <c r="F61" i="13"/>
  <c r="G61" i="13"/>
  <c r="H61" i="13"/>
  <c r="I61" i="13"/>
  <c r="J61" i="13"/>
  <c r="K61" i="13"/>
  <c r="L61" i="13"/>
  <c r="M61" i="13"/>
  <c r="N61" i="13"/>
  <c r="O61" i="13"/>
  <c r="P61" i="13"/>
  <c r="Q61" i="13"/>
  <c r="S61" i="13"/>
  <c r="T61" i="13"/>
  <c r="U61" i="13"/>
  <c r="D62" i="13"/>
  <c r="E62" i="13"/>
  <c r="F62" i="13"/>
  <c r="G62" i="13"/>
  <c r="H62" i="13"/>
  <c r="I62" i="13"/>
  <c r="L62" i="13"/>
  <c r="M62" i="13"/>
  <c r="N62" i="13"/>
  <c r="O62" i="13"/>
  <c r="P62" i="13"/>
  <c r="Q62" i="13"/>
  <c r="R62" i="13"/>
  <c r="S62" i="13"/>
  <c r="T62" i="13"/>
  <c r="U62" i="13"/>
  <c r="D63" i="13"/>
  <c r="E63" i="13"/>
  <c r="F63" i="13"/>
  <c r="H63" i="13"/>
  <c r="I63" i="13"/>
  <c r="J63" i="13"/>
  <c r="K63" i="13"/>
  <c r="L63" i="13"/>
  <c r="M63" i="13"/>
  <c r="N63" i="13"/>
  <c r="O63" i="13"/>
  <c r="P63" i="13"/>
  <c r="S63" i="13"/>
  <c r="T63" i="13"/>
  <c r="U63" i="13"/>
  <c r="D64" i="13"/>
  <c r="E64" i="13"/>
  <c r="F64" i="13"/>
  <c r="G64" i="13"/>
  <c r="H64" i="13"/>
  <c r="I64" i="13"/>
  <c r="J64" i="13"/>
  <c r="K64" i="13"/>
  <c r="L64" i="13"/>
  <c r="M64" i="13"/>
  <c r="O64" i="13"/>
  <c r="P64" i="13"/>
  <c r="Q64" i="13"/>
  <c r="R64" i="13"/>
  <c r="S64" i="13"/>
  <c r="T64" i="13"/>
  <c r="U64" i="13"/>
  <c r="D65" i="13"/>
  <c r="E65" i="13"/>
  <c r="H65" i="13"/>
  <c r="I65" i="13"/>
  <c r="J65" i="13"/>
  <c r="K65" i="13"/>
  <c r="L65" i="13"/>
  <c r="M65" i="13"/>
  <c r="N65" i="13"/>
  <c r="O65" i="13"/>
  <c r="P65" i="13"/>
  <c r="Q65" i="13"/>
  <c r="R65" i="13"/>
  <c r="S65" i="13"/>
  <c r="T65" i="13"/>
  <c r="D66" i="13"/>
  <c r="E66" i="13"/>
  <c r="F66" i="13"/>
  <c r="G66" i="13"/>
  <c r="H66" i="13"/>
  <c r="I66" i="13"/>
  <c r="J66" i="13"/>
  <c r="K66" i="13"/>
  <c r="L66" i="13"/>
  <c r="O66" i="13"/>
  <c r="P66" i="13"/>
  <c r="Q66" i="13"/>
  <c r="R66" i="13"/>
  <c r="S66" i="13"/>
  <c r="T66" i="13"/>
  <c r="U66" i="13"/>
  <c r="D67" i="13"/>
  <c r="E67" i="13"/>
  <c r="F67" i="13"/>
  <c r="G67" i="13"/>
  <c r="H67" i="13"/>
  <c r="I67" i="13"/>
  <c r="K67" i="13"/>
  <c r="L67" i="13"/>
  <c r="M67" i="13"/>
  <c r="N67" i="13"/>
  <c r="O67" i="13"/>
  <c r="P67" i="13"/>
  <c r="Q67" i="13"/>
  <c r="R67" i="13"/>
  <c r="S67" i="13"/>
  <c r="D68" i="13"/>
  <c r="E68" i="13"/>
  <c r="F68" i="13"/>
  <c r="G68" i="13"/>
  <c r="H68" i="13"/>
  <c r="J68" i="13"/>
  <c r="K68" i="13"/>
  <c r="L68" i="13"/>
  <c r="M68" i="13"/>
  <c r="N68" i="13"/>
  <c r="O68" i="13"/>
  <c r="P68" i="13"/>
  <c r="R68" i="13"/>
  <c r="T68" i="13"/>
  <c r="U68" i="13"/>
  <c r="D55" i="13"/>
  <c r="E55" i="13"/>
  <c r="F55" i="13"/>
  <c r="G55" i="13"/>
  <c r="H55" i="13"/>
  <c r="K55" i="13"/>
  <c r="L55" i="13"/>
  <c r="M55" i="13"/>
  <c r="P55" i="13"/>
  <c r="Q55" i="13"/>
  <c r="R55" i="13"/>
  <c r="U55" i="13"/>
  <c r="D56" i="13"/>
  <c r="E56" i="13"/>
  <c r="H56" i="13"/>
  <c r="I56" i="13"/>
  <c r="J56" i="13"/>
  <c r="M56" i="13"/>
  <c r="N56" i="13"/>
  <c r="O56" i="13"/>
  <c r="R56" i="13"/>
  <c r="S56" i="13"/>
  <c r="T56" i="13"/>
  <c r="E57" i="13"/>
  <c r="F57" i="13"/>
  <c r="G57" i="13"/>
  <c r="J57" i="13"/>
  <c r="K57" i="13"/>
  <c r="L57" i="13"/>
  <c r="O57" i="13"/>
  <c r="P57" i="13"/>
  <c r="Q57" i="13"/>
  <c r="T57" i="13"/>
  <c r="U57" i="13"/>
  <c r="D58" i="13"/>
  <c r="G58" i="13"/>
  <c r="H58" i="13"/>
  <c r="I58" i="13"/>
  <c r="L58" i="13"/>
  <c r="M58" i="13"/>
  <c r="N58" i="13"/>
  <c r="Q58" i="13"/>
  <c r="R58" i="13"/>
  <c r="S58" i="13"/>
  <c r="D59" i="13"/>
  <c r="E59" i="13"/>
  <c r="F59" i="13"/>
  <c r="I59" i="13"/>
  <c r="J59" i="13"/>
  <c r="K59" i="13"/>
  <c r="N59" i="13"/>
  <c r="O59" i="13"/>
  <c r="P59" i="13"/>
  <c r="S59" i="13"/>
  <c r="T59" i="13"/>
  <c r="U59" i="13"/>
  <c r="C44" i="13"/>
  <c r="C62" i="13"/>
  <c r="C45" i="13"/>
  <c r="C81" i="13" s="1"/>
  <c r="C63" i="13"/>
  <c r="C50" i="13"/>
  <c r="C68" i="13" s="1"/>
  <c r="C46" i="13"/>
  <c r="C82" i="13" s="1"/>
  <c r="C43" i="13"/>
  <c r="C61" i="13" s="1"/>
  <c r="B50" i="13"/>
  <c r="B68" i="13"/>
  <c r="B86" i="13"/>
  <c r="B48" i="13"/>
  <c r="B84" i="13" s="1"/>
  <c r="C48" i="13"/>
  <c r="C66" i="13" s="1"/>
  <c r="B49" i="13"/>
  <c r="B85" i="13" s="1"/>
  <c r="C49" i="13"/>
  <c r="C85" i="13"/>
  <c r="C47" i="13"/>
  <c r="C65" i="13" s="1"/>
  <c r="C83" i="13"/>
  <c r="C80" i="13"/>
  <c r="B47" i="13"/>
  <c r="B83" i="13" s="1"/>
  <c r="B46" i="13"/>
  <c r="B82" i="13"/>
  <c r="B45" i="13"/>
  <c r="B63" i="13" s="1"/>
  <c r="B81" i="13"/>
  <c r="B44" i="13"/>
  <c r="B80" i="13" s="1"/>
  <c r="B43" i="13"/>
  <c r="B79" i="13" s="1"/>
  <c r="C41" i="13"/>
  <c r="C77" i="13" s="1"/>
  <c r="C40" i="13"/>
  <c r="C76" i="13"/>
  <c r="C39" i="13"/>
  <c r="C75" i="13"/>
  <c r="C38" i="13"/>
  <c r="C74" i="13" s="1"/>
  <c r="C37" i="13"/>
  <c r="C55" i="13" s="1"/>
  <c r="B38" i="13"/>
  <c r="B74" i="13" s="1"/>
  <c r="B39" i="13"/>
  <c r="B75" i="13"/>
  <c r="B40" i="13"/>
  <c r="B58" i="13" s="1"/>
  <c r="B76" i="13"/>
  <c r="B41" i="13"/>
  <c r="B77" i="13" s="1"/>
  <c r="B37" i="13"/>
  <c r="B73" i="13" s="1"/>
  <c r="C67" i="13"/>
  <c r="C58" i="13"/>
  <c r="C57" i="13"/>
  <c r="C56" i="13"/>
  <c r="B66" i="13"/>
  <c r="B65" i="13"/>
  <c r="B64" i="13"/>
  <c r="B62" i="13"/>
  <c r="B56" i="13"/>
  <c r="B57" i="13"/>
  <c r="B59" i="13"/>
  <c r="L32" i="13"/>
  <c r="M25" i="13" s="1"/>
  <c r="G32" i="13"/>
  <c r="H32" i="13"/>
  <c r="I32" i="13"/>
  <c r="J32" i="13"/>
  <c r="K32" i="13"/>
  <c r="N32" i="13"/>
  <c r="O32" i="13"/>
  <c r="P32" i="13"/>
  <c r="Q32" i="13"/>
  <c r="R32" i="13"/>
  <c r="S32" i="13"/>
  <c r="T32" i="13"/>
  <c r="U32" i="13"/>
  <c r="F32" i="13"/>
  <c r="D32" i="13"/>
  <c r="E26" i="13" s="1"/>
  <c r="E24" i="13"/>
  <c r="E25" i="13"/>
  <c r="E27" i="13"/>
  <c r="E28" i="13"/>
  <c r="E29" i="13"/>
  <c r="E30" i="13"/>
  <c r="C32" i="13"/>
  <c r="B32" i="13"/>
  <c r="J45" i="16" l="1"/>
  <c r="J58" i="16"/>
  <c r="P15" i="16"/>
  <c r="J30" i="16"/>
  <c r="V15" i="16"/>
  <c r="V30" i="16" s="1"/>
  <c r="V56" i="16" s="1"/>
  <c r="P40" i="16"/>
  <c r="P53" i="16"/>
  <c r="I15" i="16"/>
  <c r="C30" i="16"/>
  <c r="Q9" i="16"/>
  <c r="W9" i="16"/>
  <c r="W24" i="16" s="1"/>
  <c r="W50" i="16" s="1"/>
  <c r="K24" i="16"/>
  <c r="O16" i="16"/>
  <c r="U16" i="16"/>
  <c r="U31" i="16" s="1"/>
  <c r="U57" i="16" s="1"/>
  <c r="I31" i="16"/>
  <c r="D37" i="16"/>
  <c r="D50" i="16"/>
  <c r="P45" i="16"/>
  <c r="P58" i="16"/>
  <c r="W56" i="16"/>
  <c r="W43" i="16"/>
  <c r="E39" i="16"/>
  <c r="E52" i="16"/>
  <c r="H45" i="29"/>
  <c r="I40" i="29"/>
  <c r="I45" i="29"/>
  <c r="I47" i="29"/>
  <c r="H49" i="29"/>
  <c r="F45" i="29"/>
  <c r="D25" i="29"/>
  <c r="H25" i="29" s="1"/>
  <c r="F35" i="32"/>
  <c r="F44" i="32"/>
  <c r="J38" i="32"/>
  <c r="J46" i="32"/>
  <c r="W40" i="16"/>
  <c r="D40" i="16"/>
  <c r="I28" i="16"/>
  <c r="U13" i="16"/>
  <c r="U28" i="16" s="1"/>
  <c r="U54" i="16" s="1"/>
  <c r="P18" i="16"/>
  <c r="AB17" i="16"/>
  <c r="E16" i="16"/>
  <c r="Q15" i="16"/>
  <c r="AG13" i="16"/>
  <c r="AN12" i="16"/>
  <c r="AN27" i="16" s="1"/>
  <c r="J11" i="16"/>
  <c r="J9" i="16"/>
  <c r="V9" i="16" s="1"/>
  <c r="V24" i="16" s="1"/>
  <c r="J11" i="36"/>
  <c r="J40" i="29"/>
  <c r="J45" i="29"/>
  <c r="F50" i="29"/>
  <c r="C10" i="32"/>
  <c r="J44" i="29"/>
  <c r="I50" i="29"/>
  <c r="F40" i="29"/>
  <c r="D31" i="29"/>
  <c r="F31" i="29" s="1"/>
  <c r="D35" i="32"/>
  <c r="D44" i="32"/>
  <c r="J47" i="32"/>
  <c r="C46" i="16"/>
  <c r="C51" i="16"/>
  <c r="D59" i="16"/>
  <c r="E30" i="16"/>
  <c r="AB27" i="16"/>
  <c r="AB53" i="16" s="1"/>
  <c r="H40" i="29"/>
  <c r="J50" i="29"/>
  <c r="J39" i="32"/>
  <c r="D44" i="16"/>
  <c r="D32" i="16"/>
  <c r="K26" i="16"/>
  <c r="K52" i="16" s="1"/>
  <c r="D13" i="16"/>
  <c r="J27" i="32"/>
  <c r="J25" i="32"/>
  <c r="F24" i="32"/>
  <c r="C37" i="34"/>
  <c r="C42" i="34" s="1"/>
  <c r="C47" i="34" s="1"/>
  <c r="C29" i="34"/>
  <c r="C32" i="34" s="1"/>
  <c r="C38" i="34" s="1"/>
  <c r="C43" i="34" s="1"/>
  <c r="C53" i="34" s="1"/>
  <c r="H18" i="16"/>
  <c r="B33" i="16"/>
  <c r="B28" i="16"/>
  <c r="H13" i="16"/>
  <c r="D15" i="32"/>
  <c r="C15" i="32"/>
  <c r="B15" i="32"/>
  <c r="J19" i="32"/>
  <c r="J17" i="32"/>
  <c r="G15" i="32"/>
  <c r="B37" i="34"/>
  <c r="B42" i="34" s="1"/>
  <c r="B28" i="34"/>
  <c r="B31" i="34" s="1"/>
  <c r="B30" i="34"/>
  <c r="B33" i="34" s="1"/>
  <c r="B29" i="34"/>
  <c r="B32" i="34" s="1"/>
  <c r="J16" i="32"/>
  <c r="D24" i="29"/>
  <c r="N40" i="16"/>
  <c r="H27" i="16"/>
  <c r="D27" i="29"/>
  <c r="J27" i="29" s="1"/>
  <c r="B45" i="16"/>
  <c r="I31" i="29"/>
  <c r="T12" i="16"/>
  <c r="T27" i="16" s="1"/>
  <c r="T53" i="16" s="1"/>
  <c r="J31" i="29"/>
  <c r="H39" i="16"/>
  <c r="C20" i="32"/>
  <c r="F20" i="32"/>
  <c r="B20" i="32"/>
  <c r="E20" i="32"/>
  <c r="G20" i="32"/>
  <c r="G22" i="29"/>
  <c r="F22" i="29"/>
  <c r="J22" i="29"/>
  <c r="B24" i="32"/>
  <c r="C28" i="34"/>
  <c r="C31" i="34" s="1"/>
  <c r="E30" i="34"/>
  <c r="E33" i="34" s="1"/>
  <c r="F10" i="32"/>
  <c r="E15" i="32"/>
  <c r="D24" i="32"/>
  <c r="H39" i="29"/>
  <c r="J20" i="29"/>
  <c r="J30" i="29"/>
  <c r="D23" i="29"/>
  <c r="G23" i="29" s="1"/>
  <c r="D28" i="29"/>
  <c r="J18" i="32"/>
  <c r="J23" i="32"/>
  <c r="E30" i="32"/>
  <c r="J33" i="32"/>
  <c r="J14" i="32"/>
  <c r="E28" i="34"/>
  <c r="E31" i="34" s="1"/>
  <c r="C30" i="34"/>
  <c r="C33" i="34" s="1"/>
  <c r="C39" i="34" s="1"/>
  <c r="C44" i="34" s="1"/>
  <c r="C49" i="34" s="1"/>
  <c r="B10" i="32"/>
  <c r="G10" i="32"/>
  <c r="F15" i="32"/>
  <c r="E24" i="32"/>
  <c r="J39" i="29"/>
  <c r="D29" i="29"/>
  <c r="J12" i="32"/>
  <c r="J26" i="32"/>
  <c r="J34" i="32"/>
  <c r="J32" i="32"/>
  <c r="D10" i="32"/>
  <c r="G24" i="32"/>
  <c r="E10" i="32"/>
  <c r="C24" i="32"/>
  <c r="G39" i="29"/>
  <c r="H20" i="29"/>
  <c r="H30" i="29"/>
  <c r="J13" i="32"/>
  <c r="B38" i="34"/>
  <c r="B43" i="34" s="1"/>
  <c r="B39" i="34"/>
  <c r="B44" i="34" s="1"/>
  <c r="D28" i="34"/>
  <c r="D31" i="34" s="1"/>
  <c r="D29" i="34"/>
  <c r="D32" i="34" s="1"/>
  <c r="D30" i="34"/>
  <c r="D33" i="34" s="1"/>
  <c r="C48" i="34"/>
  <c r="M24" i="13"/>
  <c r="M28" i="13"/>
  <c r="B55" i="13"/>
  <c r="B61" i="13"/>
  <c r="B67" i="13"/>
  <c r="C73" i="13"/>
  <c r="C79" i="13"/>
  <c r="C84" i="13"/>
  <c r="C86" i="13"/>
  <c r="C64" i="13"/>
  <c r="S68" i="13"/>
  <c r="I68" i="13"/>
  <c r="Q77" i="13"/>
  <c r="L77" i="13"/>
  <c r="G77" i="13"/>
  <c r="T76" i="13"/>
  <c r="O76" i="13"/>
  <c r="J76" i="13"/>
  <c r="E76" i="13"/>
  <c r="R75" i="13"/>
  <c r="M75" i="13"/>
  <c r="H75" i="13"/>
  <c r="U74" i="13"/>
  <c r="P74" i="13"/>
  <c r="K74" i="13"/>
  <c r="F74" i="13"/>
  <c r="S73" i="13"/>
  <c r="N73" i="13"/>
  <c r="I73" i="13"/>
  <c r="T85" i="13"/>
  <c r="M84" i="13"/>
  <c r="F83" i="13"/>
  <c r="Q81" i="13"/>
  <c r="J80" i="13"/>
  <c r="J19" i="33"/>
  <c r="E38" i="34"/>
  <c r="E43" i="34" s="1"/>
  <c r="E39" i="34"/>
  <c r="E44" i="34" s="1"/>
  <c r="J19" i="29"/>
  <c r="F19" i="29"/>
  <c r="I19" i="29"/>
  <c r="G19" i="29"/>
  <c r="H19" i="29"/>
  <c r="F25" i="29"/>
  <c r="G25" i="29"/>
  <c r="I25" i="29"/>
  <c r="J25" i="29"/>
  <c r="M27" i="13"/>
  <c r="C59" i="13"/>
  <c r="M59" i="13"/>
  <c r="H59" i="13"/>
  <c r="U58" i="13"/>
  <c r="K58" i="13"/>
  <c r="S57" i="13"/>
  <c r="I57" i="13"/>
  <c r="Q56" i="13"/>
  <c r="G56" i="13"/>
  <c r="T55" i="13"/>
  <c r="J55" i="13"/>
  <c r="U67" i="13"/>
  <c r="G65" i="13"/>
  <c r="R63" i="13"/>
  <c r="K62" i="13"/>
  <c r="D61" i="13"/>
  <c r="E31" i="13"/>
  <c r="E32" i="13" s="1"/>
  <c r="M31" i="13"/>
  <c r="M26" i="13"/>
  <c r="Q68" i="13"/>
  <c r="J67" i="13"/>
  <c r="U65" i="13"/>
  <c r="N64" i="13"/>
  <c r="G63" i="13"/>
  <c r="R61" i="13"/>
  <c r="D48" i="34"/>
  <c r="D53" i="34"/>
  <c r="F41" i="29"/>
  <c r="J41" i="29"/>
  <c r="H41" i="29"/>
  <c r="F46" i="29"/>
  <c r="J46" i="29"/>
  <c r="G46" i="29"/>
  <c r="H46" i="29"/>
  <c r="F51" i="29"/>
  <c r="J51" i="29"/>
  <c r="H51" i="29"/>
  <c r="I51" i="29"/>
  <c r="M29" i="13"/>
  <c r="L52" i="29"/>
  <c r="M52" i="29" s="1"/>
  <c r="M32" i="29"/>
  <c r="E47" i="34"/>
  <c r="E52" i="34"/>
  <c r="M32" i="13"/>
  <c r="R59" i="13"/>
  <c r="P58" i="13"/>
  <c r="F58" i="13"/>
  <c r="N57" i="13"/>
  <c r="D57" i="13"/>
  <c r="L56" i="13"/>
  <c r="O55" i="13"/>
  <c r="N66" i="13"/>
  <c r="M30" i="13"/>
  <c r="O53" i="29"/>
  <c r="R53" i="29"/>
  <c r="T53" i="29"/>
  <c r="Q53" i="29"/>
  <c r="N53" i="29"/>
  <c r="M33" i="29"/>
  <c r="AB40" i="16"/>
  <c r="AC45" i="16"/>
  <c r="AA41" i="16"/>
  <c r="J22" i="32"/>
  <c r="D20" i="32"/>
  <c r="N16" i="16"/>
  <c r="H31" i="16"/>
  <c r="T16" i="16"/>
  <c r="T31" i="16" s="1"/>
  <c r="T57" i="16" s="1"/>
  <c r="T37" i="29"/>
  <c r="R37" i="29"/>
  <c r="S37" i="29"/>
  <c r="L39" i="29"/>
  <c r="M39" i="29" s="1"/>
  <c r="M19" i="29"/>
  <c r="P37" i="29"/>
  <c r="M17" i="29"/>
  <c r="I23" i="29"/>
  <c r="J23" i="29"/>
  <c r="H23" i="29"/>
  <c r="F23" i="29"/>
  <c r="B28" i="33"/>
  <c r="C27" i="33"/>
  <c r="L38" i="29"/>
  <c r="M38" i="29" s="1"/>
  <c r="M18" i="29"/>
  <c r="O37" i="29"/>
  <c r="N37" i="29"/>
  <c r="D18" i="29"/>
  <c r="D33" i="29"/>
  <c r="D32" i="29"/>
  <c r="D17" i="29"/>
  <c r="F43" i="29"/>
  <c r="H43" i="29"/>
  <c r="J48" i="29"/>
  <c r="G48" i="29"/>
  <c r="J29" i="29"/>
  <c r="F29" i="29"/>
  <c r="F20" i="29"/>
  <c r="G20" i="29"/>
  <c r="H27" i="29"/>
  <c r="F30" i="29"/>
  <c r="G30" i="29"/>
  <c r="V45" i="16"/>
  <c r="U44" i="16"/>
  <c r="V40" i="16"/>
  <c r="V46" i="16"/>
  <c r="T44" i="16"/>
  <c r="W42" i="16"/>
  <c r="U40" i="16"/>
  <c r="W37" i="16"/>
  <c r="V43" i="16"/>
  <c r="W39" i="16"/>
  <c r="U41" i="16"/>
  <c r="T40" i="16"/>
  <c r="T37" i="16"/>
  <c r="W45" i="16"/>
  <c r="H22" i="29"/>
  <c r="I22" i="29"/>
  <c r="D26" i="29"/>
  <c r="D21" i="29"/>
  <c r="G31" i="29"/>
  <c r="H31" i="29"/>
  <c r="J21" i="32"/>
  <c r="P9" i="16"/>
  <c r="J24" i="16"/>
  <c r="AM5" i="16"/>
  <c r="AG5" i="16"/>
  <c r="U5" i="16"/>
  <c r="D39" i="16"/>
  <c r="D42" i="16"/>
  <c r="AF12" i="16"/>
  <c r="Z27" i="16"/>
  <c r="P16" i="16"/>
  <c r="V16" i="16"/>
  <c r="V31" i="16" s="1"/>
  <c r="V57" i="16" s="1"/>
  <c r="J31" i="16"/>
  <c r="P5" i="16"/>
  <c r="J5" i="16"/>
  <c r="AN5" i="16"/>
  <c r="AB5" i="16"/>
  <c r="C44" i="16"/>
  <c r="C57" i="16"/>
  <c r="E50" i="16"/>
  <c r="E37" i="16"/>
  <c r="O18" i="16"/>
  <c r="U18" i="16"/>
  <c r="U33" i="16" s="1"/>
  <c r="U59" i="16" s="1"/>
  <c r="I33" i="16"/>
  <c r="I17" i="16"/>
  <c r="C32" i="16"/>
  <c r="O31" i="16"/>
  <c r="AA16" i="16"/>
  <c r="V14" i="16"/>
  <c r="V29" i="16" s="1"/>
  <c r="V55" i="16" s="1"/>
  <c r="P14" i="16"/>
  <c r="J29" i="16"/>
  <c r="K10" i="16"/>
  <c r="E25" i="16"/>
  <c r="B57" i="16"/>
  <c r="AF11" i="16"/>
  <c r="Z26" i="16"/>
  <c r="Z52" i="16" s="1"/>
  <c r="V5" i="16"/>
  <c r="G30" i="32"/>
  <c r="B30" i="32"/>
  <c r="F30" i="32"/>
  <c r="D30" i="32"/>
  <c r="O5" i="16"/>
  <c r="Q30" i="16"/>
  <c r="AC15" i="16"/>
  <c r="Q14" i="16"/>
  <c r="K29" i="16"/>
  <c r="H15" i="16"/>
  <c r="B30" i="16"/>
  <c r="H10" i="16"/>
  <c r="B25" i="16"/>
  <c r="AB15" i="16"/>
  <c r="P30" i="16"/>
  <c r="K13" i="16"/>
  <c r="E28" i="16"/>
  <c r="AA12" i="16"/>
  <c r="O27" i="16"/>
  <c r="U10" i="16"/>
  <c r="U25" i="16" s="1"/>
  <c r="U51" i="16" s="1"/>
  <c r="O10" i="16"/>
  <c r="D40" i="32"/>
  <c r="Z9" i="16"/>
  <c r="N24" i="16"/>
  <c r="AM13" i="16"/>
  <c r="AM28" i="16" s="1"/>
  <c r="AG28" i="16"/>
  <c r="O11" i="16"/>
  <c r="U11" i="16"/>
  <c r="U26" i="16" s="1"/>
  <c r="U52" i="16" s="1"/>
  <c r="T11" i="16"/>
  <c r="T26" i="16" s="1"/>
  <c r="T52" i="16" s="1"/>
  <c r="N17" i="16"/>
  <c r="T17" i="16"/>
  <c r="T32" i="16" s="1"/>
  <c r="T58" i="16" s="1"/>
  <c r="H14" i="16"/>
  <c r="K18" i="16"/>
  <c r="I14" i="16"/>
  <c r="C29" i="16"/>
  <c r="AI12" i="16"/>
  <c r="AC27" i="16"/>
  <c r="Q11" i="16"/>
  <c r="J10" i="16"/>
  <c r="D25" i="16"/>
  <c r="AI17" i="16"/>
  <c r="AC32" i="16"/>
  <c r="AC58" i="16" s="1"/>
  <c r="I9" i="16"/>
  <c r="C24" i="16"/>
  <c r="U38" i="16" l="1"/>
  <c r="I27" i="29"/>
  <c r="J13" i="16"/>
  <c r="D28" i="16"/>
  <c r="P11" i="16"/>
  <c r="V11" i="16"/>
  <c r="V26" i="16" s="1"/>
  <c r="J26" i="16"/>
  <c r="AB32" i="16"/>
  <c r="AH17" i="16"/>
  <c r="I57" i="16"/>
  <c r="I44" i="16"/>
  <c r="AC9" i="16"/>
  <c r="Q24" i="16"/>
  <c r="AN53" i="16"/>
  <c r="AN40" i="16"/>
  <c r="AB18" i="16"/>
  <c r="P33" i="16"/>
  <c r="C56" i="16"/>
  <c r="C43" i="16"/>
  <c r="J43" i="16"/>
  <c r="J56" i="16"/>
  <c r="D58" i="16"/>
  <c r="D45" i="16"/>
  <c r="U15" i="16"/>
  <c r="U30" i="16" s="1"/>
  <c r="I30" i="16"/>
  <c r="O15" i="16"/>
  <c r="K39" i="16"/>
  <c r="C54" i="34"/>
  <c r="E56" i="16"/>
  <c r="E43" i="16"/>
  <c r="I41" i="16"/>
  <c r="I54" i="16"/>
  <c r="K37" i="16"/>
  <c r="K50" i="16"/>
  <c r="G27" i="29"/>
  <c r="V50" i="16"/>
  <c r="V37" i="16"/>
  <c r="K16" i="16"/>
  <c r="E31" i="16"/>
  <c r="H40" i="16"/>
  <c r="H53" i="16"/>
  <c r="B54" i="16"/>
  <c r="B41" i="16"/>
  <c r="C52" i="34"/>
  <c r="B59" i="16"/>
  <c r="B46" i="16"/>
  <c r="H28" i="16"/>
  <c r="N13" i="16"/>
  <c r="T13" i="16"/>
  <c r="T28" i="16" s="1"/>
  <c r="T39" i="16"/>
  <c r="F27" i="29"/>
  <c r="F24" i="29"/>
  <c r="G24" i="29"/>
  <c r="J24" i="29"/>
  <c r="I24" i="29"/>
  <c r="H24" i="29"/>
  <c r="B47" i="34"/>
  <c r="B52" i="34"/>
  <c r="N18" i="16"/>
  <c r="H33" i="16"/>
  <c r="T18" i="16"/>
  <c r="T33" i="16" s="1"/>
  <c r="J28" i="29"/>
  <c r="H28" i="29"/>
  <c r="F28" i="29"/>
  <c r="I28" i="29"/>
  <c r="G28" i="29"/>
  <c r="H29" i="29"/>
  <c r="G29" i="29"/>
  <c r="I29" i="29"/>
  <c r="AF26" i="16"/>
  <c r="AL11" i="16"/>
  <c r="AL26" i="16" s="1"/>
  <c r="H32" i="29"/>
  <c r="Q32" i="29" s="1"/>
  <c r="I32" i="29"/>
  <c r="R32" i="29" s="1"/>
  <c r="G32" i="29"/>
  <c r="J32" i="29"/>
  <c r="S32" i="29" s="1"/>
  <c r="F32" i="29"/>
  <c r="O32" i="29" s="1"/>
  <c r="T17" i="29"/>
  <c r="N17" i="29"/>
  <c r="C42" i="16"/>
  <c r="C55" i="16"/>
  <c r="AA10" i="16"/>
  <c r="O25" i="16"/>
  <c r="Q13" i="16"/>
  <c r="K28" i="16"/>
  <c r="W13" i="16"/>
  <c r="W28" i="16" s="1"/>
  <c r="I33" i="29"/>
  <c r="R33" i="29" s="1"/>
  <c r="J33" i="29"/>
  <c r="S33" i="29" s="1"/>
  <c r="H33" i="29"/>
  <c r="F33" i="29"/>
  <c r="G33" i="29"/>
  <c r="T52" i="29"/>
  <c r="P52" i="29"/>
  <c r="N52" i="29"/>
  <c r="O52" i="29"/>
  <c r="Q52" i="29"/>
  <c r="R52" i="29"/>
  <c r="S52" i="29"/>
  <c r="U9" i="16"/>
  <c r="U24" i="16" s="1"/>
  <c r="I24" i="16"/>
  <c r="O9" i="16"/>
  <c r="J25" i="16"/>
  <c r="V10" i="16"/>
  <c r="V25" i="16" s="1"/>
  <c r="P10" i="16"/>
  <c r="K55" i="16"/>
  <c r="K42" i="16"/>
  <c r="AC11" i="16"/>
  <c r="Q26" i="16"/>
  <c r="AC53" i="16"/>
  <c r="AC40" i="16"/>
  <c r="H29" i="16"/>
  <c r="N14" i="16"/>
  <c r="T14" i="16"/>
  <c r="T29" i="16" s="1"/>
  <c r="Z24" i="16"/>
  <c r="AF9" i="16"/>
  <c r="AA27" i="16"/>
  <c r="AG12" i="16"/>
  <c r="B51" i="16"/>
  <c r="B38" i="16"/>
  <c r="AC30" i="16"/>
  <c r="AI15" i="16"/>
  <c r="J55" i="16"/>
  <c r="J42" i="16"/>
  <c r="C58" i="16"/>
  <c r="C45" i="16"/>
  <c r="J57" i="16"/>
  <c r="J44" i="16"/>
  <c r="G26" i="29"/>
  <c r="H26" i="29"/>
  <c r="I26" i="29"/>
  <c r="F26" i="29"/>
  <c r="J26" i="29"/>
  <c r="V42" i="16"/>
  <c r="U46" i="16"/>
  <c r="H17" i="29"/>
  <c r="Q17" i="29" s="1"/>
  <c r="I17" i="29"/>
  <c r="R17" i="29" s="1"/>
  <c r="J17" i="29"/>
  <c r="S17" i="29" s="1"/>
  <c r="F17" i="29"/>
  <c r="O17" i="29" s="1"/>
  <c r="G17" i="29"/>
  <c r="P17" i="29" s="1"/>
  <c r="Z16" i="16"/>
  <c r="N31" i="16"/>
  <c r="E41" i="16"/>
  <c r="E54" i="16"/>
  <c r="T45" i="16"/>
  <c r="N18" i="29"/>
  <c r="T18" i="29"/>
  <c r="C50" i="16"/>
  <c r="C37" i="16"/>
  <c r="AG54" i="16"/>
  <c r="AG41" i="16"/>
  <c r="AB9" i="16"/>
  <c r="P24" i="16"/>
  <c r="AM54" i="16"/>
  <c r="AM41" i="16"/>
  <c r="T15" i="16"/>
  <c r="T30" i="16" s="1"/>
  <c r="H30" i="16"/>
  <c r="N15" i="16"/>
  <c r="E51" i="16"/>
  <c r="E38" i="16"/>
  <c r="AG16" i="16"/>
  <c r="AA31" i="16"/>
  <c r="Z53" i="16"/>
  <c r="Z40" i="16"/>
  <c r="V44" i="16"/>
  <c r="I18" i="29"/>
  <c r="R18" i="29" s="1"/>
  <c r="J18" i="29"/>
  <c r="S18" i="29" s="1"/>
  <c r="H18" i="29"/>
  <c r="Q18" i="29" s="1"/>
  <c r="G18" i="29"/>
  <c r="P18" i="29" s="1"/>
  <c r="F18" i="29"/>
  <c r="O18" i="29" s="1"/>
  <c r="E13" i="33"/>
  <c r="I13" i="33" s="1"/>
  <c r="E7" i="33"/>
  <c r="I7" i="33" s="1"/>
  <c r="Q19" i="29"/>
  <c r="N19" i="29"/>
  <c r="R19" i="29"/>
  <c r="S19" i="29"/>
  <c r="O19" i="29"/>
  <c r="T19" i="29"/>
  <c r="P19" i="29"/>
  <c r="Z39" i="16"/>
  <c r="P33" i="29"/>
  <c r="Q33" i="29"/>
  <c r="N33" i="29"/>
  <c r="T33" i="29"/>
  <c r="O33" i="29"/>
  <c r="E49" i="34"/>
  <c r="E54" i="34"/>
  <c r="B49" i="34"/>
  <c r="B54" i="34"/>
  <c r="AI27" i="16"/>
  <c r="AO12" i="16"/>
  <c r="AO27" i="16" s="1"/>
  <c r="O26" i="16"/>
  <c r="AA11" i="16"/>
  <c r="T10" i="16"/>
  <c r="T25" i="16" s="1"/>
  <c r="H25" i="16"/>
  <c r="N10" i="16"/>
  <c r="Q56" i="16"/>
  <c r="Q43" i="16"/>
  <c r="AB14" i="16"/>
  <c r="P29" i="16"/>
  <c r="O17" i="16"/>
  <c r="I32" i="16"/>
  <c r="U17" i="16"/>
  <c r="U32" i="16" s="1"/>
  <c r="J50" i="16"/>
  <c r="J37" i="16"/>
  <c r="T32" i="29"/>
  <c r="P32" i="29"/>
  <c r="N32" i="29"/>
  <c r="D51" i="16"/>
  <c r="D38" i="16"/>
  <c r="Z17" i="16"/>
  <c r="N32" i="16"/>
  <c r="B43" i="16"/>
  <c r="B56" i="16"/>
  <c r="I46" i="16"/>
  <c r="I59" i="16"/>
  <c r="AB16" i="16"/>
  <c r="P31" i="16"/>
  <c r="O38" i="29"/>
  <c r="R38" i="29"/>
  <c r="S38" i="29"/>
  <c r="P38" i="29"/>
  <c r="N38" i="29"/>
  <c r="Q38" i="29"/>
  <c r="T38" i="29"/>
  <c r="I29" i="16"/>
  <c r="U14" i="16"/>
  <c r="U29" i="16" s="1"/>
  <c r="O14" i="16"/>
  <c r="P43" i="16"/>
  <c r="P56" i="16"/>
  <c r="AI32" i="16"/>
  <c r="AO17" i="16"/>
  <c r="AO32" i="16" s="1"/>
  <c r="Q18" i="16"/>
  <c r="K33" i="16"/>
  <c r="W18" i="16"/>
  <c r="W33" i="16" s="1"/>
  <c r="N50" i="16"/>
  <c r="N37" i="16"/>
  <c r="O53" i="16"/>
  <c r="O40" i="16"/>
  <c r="AH15" i="16"/>
  <c r="AB30" i="16"/>
  <c r="AC14" i="16"/>
  <c r="Q29" i="16"/>
  <c r="K25" i="16"/>
  <c r="Q10" i="16"/>
  <c r="W10" i="16"/>
  <c r="W25" i="16" s="1"/>
  <c r="O44" i="16"/>
  <c r="O57" i="16"/>
  <c r="O33" i="16"/>
  <c r="AA18" i="16"/>
  <c r="AL12" i="16"/>
  <c r="AL27" i="16" s="1"/>
  <c r="AF27" i="16"/>
  <c r="G21" i="29"/>
  <c r="H21" i="29"/>
  <c r="I21" i="29"/>
  <c r="F21" i="29"/>
  <c r="J21" i="29"/>
  <c r="U39" i="16"/>
  <c r="C28" i="33"/>
  <c r="B29" i="33"/>
  <c r="P39" i="29"/>
  <c r="N39" i="29"/>
  <c r="R39" i="29"/>
  <c r="O39" i="29"/>
  <c r="Q39" i="29"/>
  <c r="T39" i="29"/>
  <c r="S39" i="29"/>
  <c r="H57" i="16"/>
  <c r="H44" i="16"/>
  <c r="E53" i="34"/>
  <c r="E48" i="34"/>
  <c r="B53" i="34"/>
  <c r="B48" i="34"/>
  <c r="I43" i="16" l="1"/>
  <c r="I56" i="16"/>
  <c r="AB11" i="16"/>
  <c r="P26" i="16"/>
  <c r="E57" i="16"/>
  <c r="E44" i="16"/>
  <c r="U56" i="16"/>
  <c r="U43" i="16"/>
  <c r="AN17" i="16"/>
  <c r="AN32" i="16" s="1"/>
  <c r="AH32" i="16"/>
  <c r="D41" i="16"/>
  <c r="D54" i="16"/>
  <c r="K31" i="16"/>
  <c r="Q16" i="16"/>
  <c r="W16" i="16"/>
  <c r="W31" i="16" s="1"/>
  <c r="Q50" i="16"/>
  <c r="Q37" i="16"/>
  <c r="AB58" i="16"/>
  <c r="AB45" i="16"/>
  <c r="V13" i="16"/>
  <c r="V28" i="16" s="1"/>
  <c r="J28" i="16"/>
  <c r="P13" i="16"/>
  <c r="P59" i="16"/>
  <c r="P46" i="16"/>
  <c r="AC24" i="16"/>
  <c r="AI9" i="16"/>
  <c r="J39" i="16"/>
  <c r="J52" i="16"/>
  <c r="O30" i="16"/>
  <c r="AA15" i="16"/>
  <c r="AH18" i="16"/>
  <c r="AB33" i="16"/>
  <c r="V52" i="16"/>
  <c r="V39" i="16"/>
  <c r="Z18" i="16"/>
  <c r="N33" i="16"/>
  <c r="T54" i="16"/>
  <c r="T41" i="16"/>
  <c r="Z13" i="16"/>
  <c r="N28" i="16"/>
  <c r="H54" i="16"/>
  <c r="H41" i="16"/>
  <c r="T59" i="16"/>
  <c r="T46" i="16"/>
  <c r="H46" i="16"/>
  <c r="H59" i="16"/>
  <c r="AO58" i="16"/>
  <c r="AO45" i="16"/>
  <c r="AG11" i="16"/>
  <c r="AA26" i="16"/>
  <c r="L20" i="29"/>
  <c r="J7" i="33"/>
  <c r="T55" i="16"/>
  <c r="T42" i="16"/>
  <c r="J38" i="16"/>
  <c r="J51" i="16"/>
  <c r="AG10" i="16"/>
  <c r="AA25" i="16"/>
  <c r="AL52" i="16"/>
  <c r="AL39" i="16"/>
  <c r="AF53" i="16"/>
  <c r="AF40" i="16"/>
  <c r="AB56" i="16"/>
  <c r="AB43" i="16"/>
  <c r="O29" i="16"/>
  <c r="AA14" i="16"/>
  <c r="I58" i="16"/>
  <c r="I45" i="16"/>
  <c r="AM12" i="16"/>
  <c r="AM27" i="16" s="1"/>
  <c r="AG27" i="16"/>
  <c r="AA9" i="16"/>
  <c r="O24" i="16"/>
  <c r="AF52" i="16"/>
  <c r="AF39" i="16"/>
  <c r="W51" i="16"/>
  <c r="W38" i="16"/>
  <c r="AN15" i="16"/>
  <c r="AN30" i="16" s="1"/>
  <c r="AH30" i="16"/>
  <c r="U55" i="16"/>
  <c r="U42" i="16"/>
  <c r="Q25" i="16"/>
  <c r="AC10" i="16"/>
  <c r="O46" i="16"/>
  <c r="O59" i="16"/>
  <c r="K38" i="16"/>
  <c r="K51" i="16"/>
  <c r="AC18" i="16"/>
  <c r="Q33" i="16"/>
  <c r="AH14" i="16"/>
  <c r="AB29" i="16"/>
  <c r="T51" i="16"/>
  <c r="T38" i="16"/>
  <c r="AG31" i="16"/>
  <c r="AM16" i="16"/>
  <c r="AM31" i="16" s="1"/>
  <c r="T56" i="16"/>
  <c r="T43" i="16"/>
  <c r="AF16" i="16"/>
  <c r="Z31" i="16"/>
  <c r="Z50" i="16"/>
  <c r="Z37" i="16"/>
  <c r="V51" i="16"/>
  <c r="V38" i="16"/>
  <c r="O38" i="16"/>
  <c r="O51" i="16"/>
  <c r="U58" i="16"/>
  <c r="U45" i="16"/>
  <c r="C29" i="33"/>
  <c r="B30" i="33"/>
  <c r="AI58" i="16"/>
  <c r="AI45" i="16"/>
  <c r="P57" i="16"/>
  <c r="P44" i="16"/>
  <c r="O52" i="16"/>
  <c r="O39" i="16"/>
  <c r="W54" i="16"/>
  <c r="W41" i="16"/>
  <c r="E8" i="33"/>
  <c r="I8" i="33" s="1"/>
  <c r="E14" i="33"/>
  <c r="I14" i="33" s="1"/>
  <c r="Q55" i="16"/>
  <c r="Q42" i="16"/>
  <c r="AB31" i="16"/>
  <c r="AH16" i="16"/>
  <c r="N58" i="16"/>
  <c r="N45" i="16"/>
  <c r="AA17" i="16"/>
  <c r="O32" i="16"/>
  <c r="Z10" i="16"/>
  <c r="N25" i="16"/>
  <c r="AO53" i="16"/>
  <c r="AO40" i="16"/>
  <c r="N30" i="16"/>
  <c r="Z15" i="16"/>
  <c r="P50" i="16"/>
  <c r="P37" i="16"/>
  <c r="AA53" i="16"/>
  <c r="AA40" i="16"/>
  <c r="H55" i="16"/>
  <c r="H42" i="16"/>
  <c r="Q52" i="16"/>
  <c r="Q39" i="16"/>
  <c r="I37" i="16"/>
  <c r="I50" i="16"/>
  <c r="K41" i="16"/>
  <c r="K54" i="16"/>
  <c r="AO15" i="16"/>
  <c r="AO30" i="16" s="1"/>
  <c r="AI30" i="16"/>
  <c r="L26" i="29"/>
  <c r="J13" i="33"/>
  <c r="AC56" i="16"/>
  <c r="AC43" i="16"/>
  <c r="Z14" i="16"/>
  <c r="N29" i="16"/>
  <c r="AL53" i="16"/>
  <c r="AL40" i="16"/>
  <c r="W59" i="16"/>
  <c r="W46" i="16"/>
  <c r="AA33" i="16"/>
  <c r="AG18" i="16"/>
  <c r="AI14" i="16"/>
  <c r="AC29" i="16"/>
  <c r="K46" i="16"/>
  <c r="K59" i="16"/>
  <c r="I42" i="16"/>
  <c r="I55" i="16"/>
  <c r="Z32" i="16"/>
  <c r="AF17" i="16"/>
  <c r="P55" i="16"/>
  <c r="P42" i="16"/>
  <c r="H38" i="16"/>
  <c r="H51" i="16"/>
  <c r="AI53" i="16"/>
  <c r="AI40" i="16"/>
  <c r="AA57" i="16"/>
  <c r="AA44" i="16"/>
  <c r="H43" i="16"/>
  <c r="H56" i="16"/>
  <c r="AH9" i="16"/>
  <c r="AB24" i="16"/>
  <c r="N57" i="16"/>
  <c r="N44" i="16"/>
  <c r="AL9" i="16"/>
  <c r="AL24" i="16" s="1"/>
  <c r="AF24" i="16"/>
  <c r="AC26" i="16"/>
  <c r="AI11" i="16"/>
  <c r="AB10" i="16"/>
  <c r="P25" i="16"/>
  <c r="U50" i="16"/>
  <c r="U37" i="16"/>
  <c r="AC13" i="16"/>
  <c r="Q28" i="16"/>
  <c r="AG15" i="16" l="1"/>
  <c r="AA30" i="16"/>
  <c r="AC50" i="16"/>
  <c r="AC37" i="16"/>
  <c r="V54" i="16"/>
  <c r="V41" i="16"/>
  <c r="W57" i="16"/>
  <c r="W44" i="16"/>
  <c r="AH45" i="16"/>
  <c r="AH58" i="16"/>
  <c r="O43" i="16"/>
  <c r="O56" i="16"/>
  <c r="AC16" i="16"/>
  <c r="Q31" i="16"/>
  <c r="AN45" i="16"/>
  <c r="AN58" i="16"/>
  <c r="P39" i="16"/>
  <c r="P52" i="16"/>
  <c r="K44" i="16"/>
  <c r="K57" i="16"/>
  <c r="AB26" i="16"/>
  <c r="AH11" i="16"/>
  <c r="AB59" i="16"/>
  <c r="AB46" i="16"/>
  <c r="AB13" i="16"/>
  <c r="P28" i="16"/>
  <c r="AN18" i="16"/>
  <c r="AN33" i="16" s="1"/>
  <c r="AH33" i="16"/>
  <c r="AI24" i="16"/>
  <c r="AO9" i="16"/>
  <c r="AO24" i="16" s="1"/>
  <c r="J54" i="16"/>
  <c r="J41" i="16"/>
  <c r="AF13" i="16"/>
  <c r="Z28" i="16"/>
  <c r="N46" i="16"/>
  <c r="N59" i="16"/>
  <c r="N41" i="16"/>
  <c r="N54" i="16"/>
  <c r="Z33" i="16"/>
  <c r="AF18" i="16"/>
  <c r="AI29" i="16"/>
  <c r="AO14" i="16"/>
  <c r="AO29" i="16" s="1"/>
  <c r="AI56" i="16"/>
  <c r="AI43" i="16"/>
  <c r="L21" i="29"/>
  <c r="J8" i="33"/>
  <c r="E9" i="33"/>
  <c r="I9" i="33" s="1"/>
  <c r="E15" i="33"/>
  <c r="I15" i="33" s="1"/>
  <c r="AB55" i="16"/>
  <c r="AB42" i="16"/>
  <c r="AG53" i="16"/>
  <c r="AG40" i="16"/>
  <c r="O55" i="16"/>
  <c r="O42" i="16"/>
  <c r="AC52" i="16"/>
  <c r="AC39" i="16"/>
  <c r="AB50" i="16"/>
  <c r="AB37" i="16"/>
  <c r="AB57" i="16"/>
  <c r="AB44" i="16"/>
  <c r="AH29" i="16"/>
  <c r="AN14" i="16"/>
  <c r="AN29" i="16" s="1"/>
  <c r="AF50" i="16"/>
  <c r="AF37" i="16"/>
  <c r="AA59" i="16"/>
  <c r="AA46" i="16"/>
  <c r="N42" i="16"/>
  <c r="N55" i="16"/>
  <c r="L46" i="29"/>
  <c r="M46" i="29" s="1"/>
  <c r="M26" i="29"/>
  <c r="AG17" i="16"/>
  <c r="AA32" i="16"/>
  <c r="AM57" i="16"/>
  <c r="AM44" i="16"/>
  <c r="Q46" i="16"/>
  <c r="Q59" i="16"/>
  <c r="AH56" i="16"/>
  <c r="AH43" i="16"/>
  <c r="AA51" i="16"/>
  <c r="AA38" i="16"/>
  <c r="AA52" i="16"/>
  <c r="AA39" i="16"/>
  <c r="AI13" i="16"/>
  <c r="AC28" i="16"/>
  <c r="AO11" i="16"/>
  <c r="AO26" i="16" s="1"/>
  <c r="AI26" i="16"/>
  <c r="AF15" i="16"/>
  <c r="Z30" i="16"/>
  <c r="AF10" i="16"/>
  <c r="Z25" i="16"/>
  <c r="AN16" i="16"/>
  <c r="AN31" i="16" s="1"/>
  <c r="AH31" i="16"/>
  <c r="AM18" i="16"/>
  <c r="AM33" i="16" s="1"/>
  <c r="AG33" i="16"/>
  <c r="AO56" i="16"/>
  <c r="AO43" i="16"/>
  <c r="N43" i="16"/>
  <c r="N56" i="16"/>
  <c r="O58" i="16"/>
  <c r="O45" i="16"/>
  <c r="AM53" i="16"/>
  <c r="AM40" i="16"/>
  <c r="L40" i="29"/>
  <c r="M40" i="29" s="1"/>
  <c r="M20" i="29"/>
  <c r="AH24" i="16"/>
  <c r="AN9" i="16"/>
  <c r="AN24" i="16" s="1"/>
  <c r="P51" i="16"/>
  <c r="P38" i="16"/>
  <c r="AL37" i="16"/>
  <c r="AL50" i="16"/>
  <c r="AF32" i="16"/>
  <c r="AL17" i="16"/>
  <c r="AL32" i="16" s="1"/>
  <c r="Z29" i="16"/>
  <c r="AF14" i="16"/>
  <c r="Z57" i="16"/>
  <c r="Z44" i="16"/>
  <c r="AG57" i="16"/>
  <c r="AG44" i="16"/>
  <c r="AI18" i="16"/>
  <c r="AC33" i="16"/>
  <c r="AI10" i="16"/>
  <c r="AC25" i="16"/>
  <c r="AN56" i="16"/>
  <c r="AN43" i="16"/>
  <c r="O37" i="16"/>
  <c r="O50" i="16"/>
  <c r="AM10" i="16"/>
  <c r="AM25" i="16" s="1"/>
  <c r="AG25" i="16"/>
  <c r="AG26" i="16"/>
  <c r="AM11" i="16"/>
  <c r="AM26" i="16" s="1"/>
  <c r="Q41" i="16"/>
  <c r="Q54" i="16"/>
  <c r="AH10" i="16"/>
  <c r="AB25" i="16"/>
  <c r="Z58" i="16"/>
  <c r="Z45" i="16"/>
  <c r="AC55" i="16"/>
  <c r="AC42" i="16"/>
  <c r="N51" i="16"/>
  <c r="N38" i="16"/>
  <c r="L27" i="29"/>
  <c r="J14" i="33"/>
  <c r="B31" i="33"/>
  <c r="C30" i="33"/>
  <c r="AF31" i="16"/>
  <c r="AL16" i="16"/>
  <c r="AL31" i="16" s="1"/>
  <c r="Q51" i="16"/>
  <c r="Q38" i="16"/>
  <c r="AG9" i="16"/>
  <c r="AA24" i="16"/>
  <c r="AG14" i="16"/>
  <c r="AA29" i="16"/>
  <c r="AO50" i="16" l="1"/>
  <c r="AO37" i="16"/>
  <c r="AH13" i="16"/>
  <c r="AB28" i="16"/>
  <c r="AI50" i="16"/>
  <c r="AI37" i="16"/>
  <c r="Q44" i="16"/>
  <c r="Q57" i="16"/>
  <c r="AH59" i="16"/>
  <c r="AH46" i="16"/>
  <c r="AI16" i="16"/>
  <c r="AC31" i="16"/>
  <c r="AN46" i="16"/>
  <c r="AN59" i="16"/>
  <c r="AH26" i="16"/>
  <c r="AN11" i="16"/>
  <c r="AN26" i="16" s="1"/>
  <c r="AA56" i="16"/>
  <c r="AA43" i="16"/>
  <c r="P54" i="16"/>
  <c r="P41" i="16"/>
  <c r="AB52" i="16"/>
  <c r="AB39" i="16"/>
  <c r="AG30" i="16"/>
  <c r="AM15" i="16"/>
  <c r="AM30" i="16" s="1"/>
  <c r="AL18" i="16"/>
  <c r="AL33" i="16" s="1"/>
  <c r="AF33" i="16"/>
  <c r="Z59" i="16"/>
  <c r="Z46" i="16"/>
  <c r="Z54" i="16"/>
  <c r="Z41" i="16"/>
  <c r="AF28" i="16"/>
  <c r="AL13" i="16"/>
  <c r="AL28" i="16" s="1"/>
  <c r="AF58" i="16"/>
  <c r="AF45" i="16"/>
  <c r="AN57" i="16"/>
  <c r="AN44" i="16"/>
  <c r="AM14" i="16"/>
  <c r="AM29" i="16" s="1"/>
  <c r="AG29" i="16"/>
  <c r="AL57" i="16"/>
  <c r="AL44" i="16"/>
  <c r="AM9" i="16"/>
  <c r="AM24" i="16" s="1"/>
  <c r="AG24" i="16"/>
  <c r="E10" i="33"/>
  <c r="I10" i="33" s="1"/>
  <c r="E16" i="33"/>
  <c r="I16" i="33" s="1"/>
  <c r="AB51" i="16"/>
  <c r="AB38" i="16"/>
  <c r="AG39" i="16"/>
  <c r="AG52" i="16"/>
  <c r="AI25" i="16"/>
  <c r="AO10" i="16"/>
  <c r="AO25" i="16" s="1"/>
  <c r="Z42" i="16"/>
  <c r="Z55" i="16"/>
  <c r="S40" i="29"/>
  <c r="P40" i="29"/>
  <c r="O40" i="29"/>
  <c r="T40" i="29"/>
  <c r="Q40" i="29"/>
  <c r="N40" i="29"/>
  <c r="R40" i="29"/>
  <c r="AM59" i="16"/>
  <c r="AM46" i="16"/>
  <c r="Z56" i="16"/>
  <c r="Z43" i="16"/>
  <c r="AO13" i="16"/>
  <c r="AO28" i="16" s="1"/>
  <c r="AI28" i="16"/>
  <c r="S26" i="29"/>
  <c r="T26" i="29"/>
  <c r="O26" i="29"/>
  <c r="N26" i="29"/>
  <c r="R26" i="29"/>
  <c r="P26" i="29"/>
  <c r="Q26" i="29"/>
  <c r="L41" i="29"/>
  <c r="M41" i="29" s="1"/>
  <c r="M21" i="29"/>
  <c r="C31" i="33"/>
  <c r="B32" i="33"/>
  <c r="C32" i="33" s="1"/>
  <c r="AN10" i="16"/>
  <c r="AN25" i="16" s="1"/>
  <c r="AH25" i="16"/>
  <c r="AC59" i="16"/>
  <c r="AC46" i="16"/>
  <c r="AL58" i="16"/>
  <c r="AL45" i="16"/>
  <c r="AH57" i="16"/>
  <c r="AH44" i="16"/>
  <c r="AF30" i="16"/>
  <c r="AL15" i="16"/>
  <c r="AL30" i="16" s="1"/>
  <c r="AA58" i="16"/>
  <c r="AA45" i="16"/>
  <c r="N46" i="29"/>
  <c r="Q46" i="29"/>
  <c r="O46" i="29"/>
  <c r="T46" i="29"/>
  <c r="R46" i="29"/>
  <c r="S46" i="29"/>
  <c r="P46" i="29"/>
  <c r="AA55" i="16"/>
  <c r="AA42" i="16"/>
  <c r="AI33" i="16"/>
  <c r="AO18" i="16"/>
  <c r="AO33" i="16" s="1"/>
  <c r="AN50" i="16"/>
  <c r="AN37" i="16"/>
  <c r="AI52" i="16"/>
  <c r="AI39" i="16"/>
  <c r="AG32" i="16"/>
  <c r="AM17" i="16"/>
  <c r="AM32" i="16" s="1"/>
  <c r="L28" i="29"/>
  <c r="J15" i="33"/>
  <c r="L47" i="29"/>
  <c r="M47" i="29" s="1"/>
  <c r="M27" i="29"/>
  <c r="AG51" i="16"/>
  <c r="AG38" i="16"/>
  <c r="AH50" i="16"/>
  <c r="AH37" i="16"/>
  <c r="Z51" i="16"/>
  <c r="Z38" i="16"/>
  <c r="AO52" i="16"/>
  <c r="AO39" i="16"/>
  <c r="AN55" i="16"/>
  <c r="AN42" i="16"/>
  <c r="L22" i="29"/>
  <c r="J9" i="33"/>
  <c r="AO55" i="16"/>
  <c r="AO42" i="16"/>
  <c r="AA50" i="16"/>
  <c r="AA37" i="16"/>
  <c r="AF57" i="16"/>
  <c r="AF44" i="16"/>
  <c r="AM39" i="16"/>
  <c r="AM52" i="16"/>
  <c r="AM51" i="16"/>
  <c r="AM38" i="16"/>
  <c r="AC51" i="16"/>
  <c r="AC38" i="16"/>
  <c r="AL14" i="16"/>
  <c r="AL29" i="16" s="1"/>
  <c r="AF29" i="16"/>
  <c r="R20" i="29"/>
  <c r="S20" i="29"/>
  <c r="Q20" i="29"/>
  <c r="T20" i="29"/>
  <c r="P20" i="29"/>
  <c r="N20" i="29"/>
  <c r="O20" i="29"/>
  <c r="AG59" i="16"/>
  <c r="AG46" i="16"/>
  <c r="AF25" i="16"/>
  <c r="AL10" i="16"/>
  <c r="AL25" i="16" s="1"/>
  <c r="AC54" i="16"/>
  <c r="AC41" i="16"/>
  <c r="AH55" i="16"/>
  <c r="AH42" i="16"/>
  <c r="AI55" i="16"/>
  <c r="AI42" i="16"/>
  <c r="AH52" i="16" l="1"/>
  <c r="AH39" i="16"/>
  <c r="AM56" i="16"/>
  <c r="AM43" i="16"/>
  <c r="AB54" i="16"/>
  <c r="AB41" i="16"/>
  <c r="AG56" i="16"/>
  <c r="AG43" i="16"/>
  <c r="AN13" i="16"/>
  <c r="AN28" i="16" s="1"/>
  <c r="AH28" i="16"/>
  <c r="AC57" i="16"/>
  <c r="AC44" i="16"/>
  <c r="AN39" i="16"/>
  <c r="AN52" i="16"/>
  <c r="AO16" i="16"/>
  <c r="AO31" i="16" s="1"/>
  <c r="AI31" i="16"/>
  <c r="AL54" i="16"/>
  <c r="AL41" i="16"/>
  <c r="AF41" i="16"/>
  <c r="AF54" i="16"/>
  <c r="AF59" i="16"/>
  <c r="AF46" i="16"/>
  <c r="AL59" i="16"/>
  <c r="AL46" i="16"/>
  <c r="AG58" i="16"/>
  <c r="AG45" i="16"/>
  <c r="AL56" i="16"/>
  <c r="AL43" i="16"/>
  <c r="AM37" i="16"/>
  <c r="AM50" i="16"/>
  <c r="AL51" i="16"/>
  <c r="AL38" i="16"/>
  <c r="AI54" i="16"/>
  <c r="AI41" i="16"/>
  <c r="AO51" i="16"/>
  <c r="AO38" i="16"/>
  <c r="AF55" i="16"/>
  <c r="AF42" i="16"/>
  <c r="AO59" i="16"/>
  <c r="AO46" i="16"/>
  <c r="AO41" i="16"/>
  <c r="AO54" i="16"/>
  <c r="AL55" i="16"/>
  <c r="AL42" i="16"/>
  <c r="L48" i="29"/>
  <c r="M48" i="29" s="1"/>
  <c r="M28" i="29"/>
  <c r="AI59" i="16"/>
  <c r="AI46" i="16"/>
  <c r="AM58" i="16"/>
  <c r="AM45" i="16"/>
  <c r="AN38" i="16"/>
  <c r="AN51" i="16"/>
  <c r="AG37" i="16"/>
  <c r="AG50" i="16"/>
  <c r="AM42" i="16"/>
  <c r="AM55" i="16"/>
  <c r="T27" i="29"/>
  <c r="O27" i="29"/>
  <c r="P27" i="29"/>
  <c r="R27" i="29"/>
  <c r="Q27" i="29"/>
  <c r="S27" i="29"/>
  <c r="N27" i="29"/>
  <c r="E18" i="33"/>
  <c r="I18" i="33" s="1"/>
  <c r="E12" i="33"/>
  <c r="I12" i="33" s="1"/>
  <c r="T47" i="29"/>
  <c r="O47" i="29"/>
  <c r="R47" i="29"/>
  <c r="N47" i="29"/>
  <c r="Q47" i="29"/>
  <c r="P47" i="29"/>
  <c r="S47" i="29"/>
  <c r="AI51" i="16"/>
  <c r="AI38" i="16"/>
  <c r="L29" i="29"/>
  <c r="J16" i="33"/>
  <c r="AF43" i="16"/>
  <c r="AF56" i="16"/>
  <c r="E17" i="33"/>
  <c r="I17" i="33" s="1"/>
  <c r="E11" i="33"/>
  <c r="I11" i="33" s="1"/>
  <c r="AF51" i="16"/>
  <c r="AF38" i="16"/>
  <c r="L42" i="29"/>
  <c r="M42" i="29" s="1"/>
  <c r="M22" i="29"/>
  <c r="S21" i="29"/>
  <c r="T21" i="29"/>
  <c r="O21" i="29"/>
  <c r="N21" i="29"/>
  <c r="R21" i="29"/>
  <c r="P21" i="29"/>
  <c r="Q21" i="29"/>
  <c r="AH51" i="16"/>
  <c r="AH38" i="16"/>
  <c r="N41" i="29"/>
  <c r="Q41" i="29"/>
  <c r="O41" i="29"/>
  <c r="R41" i="29"/>
  <c r="T41" i="29"/>
  <c r="P41" i="29"/>
  <c r="S41" i="29"/>
  <c r="L23" i="29"/>
  <c r="J10" i="33"/>
  <c r="AG55" i="16"/>
  <c r="AG42" i="16"/>
  <c r="AO44" i="16" l="1"/>
  <c r="AO57" i="16"/>
  <c r="AH41" i="16"/>
  <c r="AH54" i="16"/>
  <c r="AN54" i="16"/>
  <c r="AN41" i="16"/>
  <c r="AI57" i="16"/>
  <c r="AI44" i="16"/>
  <c r="L24" i="29"/>
  <c r="J11" i="33"/>
  <c r="T22" i="29"/>
  <c r="O22" i="29"/>
  <c r="P22" i="29"/>
  <c r="R22" i="29"/>
  <c r="Q22" i="29"/>
  <c r="N22" i="29"/>
  <c r="S22" i="29"/>
  <c r="L30" i="29"/>
  <c r="J17" i="33"/>
  <c r="L31" i="29"/>
  <c r="J18" i="33"/>
  <c r="T42" i="29"/>
  <c r="N42" i="29"/>
  <c r="S42" i="29"/>
  <c r="R42" i="29"/>
  <c r="O42" i="29"/>
  <c r="Q42" i="29"/>
  <c r="P42" i="29"/>
  <c r="L43" i="29"/>
  <c r="M43" i="29" s="1"/>
  <c r="M23" i="29"/>
  <c r="P28" i="29"/>
  <c r="Q28" i="29"/>
  <c r="N28" i="29"/>
  <c r="R28" i="29"/>
  <c r="S28" i="29"/>
  <c r="T28" i="29"/>
  <c r="O28" i="29"/>
  <c r="L49" i="29"/>
  <c r="M49" i="29" s="1"/>
  <c r="M29" i="29"/>
  <c r="L25" i="29"/>
  <c r="J12" i="33"/>
  <c r="O48" i="29"/>
  <c r="R48" i="29"/>
  <c r="N48" i="29"/>
  <c r="T48" i="29"/>
  <c r="P48" i="29"/>
  <c r="S48" i="29"/>
  <c r="Q48" i="29"/>
  <c r="Q29" i="29" l="1"/>
  <c r="N29" i="29"/>
  <c r="R29" i="29"/>
  <c r="S29" i="29"/>
  <c r="O29" i="29"/>
  <c r="P29" i="29"/>
  <c r="T29" i="29"/>
  <c r="O43" i="29"/>
  <c r="R43" i="29"/>
  <c r="Q43" i="29"/>
  <c r="T43" i="29"/>
  <c r="N43" i="29"/>
  <c r="S43" i="29"/>
  <c r="P43" i="29"/>
  <c r="L44" i="29"/>
  <c r="M44" i="29" s="1"/>
  <c r="M24" i="29"/>
  <c r="P49" i="29"/>
  <c r="O49" i="29"/>
  <c r="R49" i="29"/>
  <c r="N49" i="29"/>
  <c r="S49" i="29"/>
  <c r="Q49" i="29"/>
  <c r="T49" i="29"/>
  <c r="L50" i="29"/>
  <c r="M50" i="29" s="1"/>
  <c r="M30" i="29"/>
  <c r="L45" i="29"/>
  <c r="M45" i="29" s="1"/>
  <c r="M25" i="29"/>
  <c r="P23" i="29"/>
  <c r="Q23" i="29"/>
  <c r="N23" i="29"/>
  <c r="R23" i="29"/>
  <c r="T23" i="29"/>
  <c r="S23" i="29"/>
  <c r="O23" i="29"/>
  <c r="L51" i="29"/>
  <c r="M51" i="29" s="1"/>
  <c r="M31" i="29"/>
  <c r="S50" i="29" l="1"/>
  <c r="O50" i="29"/>
  <c r="T50" i="29"/>
  <c r="Q50" i="29"/>
  <c r="R50" i="29"/>
  <c r="P50" i="29"/>
  <c r="N50" i="29"/>
  <c r="R25" i="29"/>
  <c r="S25" i="29"/>
  <c r="Q25" i="29"/>
  <c r="T25" i="29"/>
  <c r="P25" i="29"/>
  <c r="N25" i="29"/>
  <c r="O25" i="29"/>
  <c r="N51" i="29"/>
  <c r="Q51" i="29"/>
  <c r="O51" i="29"/>
  <c r="S51" i="29"/>
  <c r="R51" i="29"/>
  <c r="P51" i="29"/>
  <c r="T51" i="29"/>
  <c r="R30" i="29"/>
  <c r="S30" i="29"/>
  <c r="Q30" i="29"/>
  <c r="T30" i="29"/>
  <c r="P30" i="29"/>
  <c r="N30" i="29"/>
  <c r="O30" i="29"/>
  <c r="P44" i="29"/>
  <c r="O44" i="29"/>
  <c r="S44" i="29"/>
  <c r="N44" i="29"/>
  <c r="R44" i="29"/>
  <c r="Q44" i="29"/>
  <c r="T44" i="29"/>
  <c r="S31" i="29"/>
  <c r="T31" i="29"/>
  <c r="O31" i="29"/>
  <c r="N31" i="29"/>
  <c r="R31" i="29"/>
  <c r="P31" i="29"/>
  <c r="Q31" i="29"/>
  <c r="S45" i="29"/>
  <c r="N45" i="29"/>
  <c r="R45" i="29"/>
  <c r="O45" i="29"/>
  <c r="T45" i="29"/>
  <c r="P45" i="29"/>
  <c r="Q45" i="29"/>
  <c r="Q24" i="29"/>
  <c r="N24" i="29"/>
  <c r="R24" i="29"/>
  <c r="P24" i="29"/>
  <c r="S24" i="29"/>
  <c r="O24" i="29"/>
  <c r="T24" i="29"/>
</calcChain>
</file>

<file path=xl/sharedStrings.xml><?xml version="1.0" encoding="utf-8"?>
<sst xmlns="http://schemas.openxmlformats.org/spreadsheetml/2006/main" count="1215" uniqueCount="340">
  <si>
    <t>Affordable rent levels comparred to incomes in the Housing Requirements Study (Southwark average)</t>
  </si>
  <si>
    <t xml:space="preserve">Maximum % of market rent that average could afford </t>
  </si>
  <si>
    <t>WEEKLY</t>
  </si>
  <si>
    <t>ANNUAL</t>
  </si>
  <si>
    <t xml:space="preserve">EXPLANATION - Using the data in the other tabs, a set of scenarios were suggested for varying proportions of market rents, LHA capped market rents and social rents. These 3 options/scenarios are included in the top table. You can change the area/postcode using the yellow drop down in the black shaded table Conditional colour formatting shows where values are greater than LHA, universal credit caps or where values have been capped to LHA. The top tables are just assembling the data and indicating relationship to LHA. The key section is the data below the yellow shaded heading. This gives figures for each option (capped as required). The light green shading shows where the value has been capped to LHA instead of the higher market rent figure. For Southwark both 80% and 70% of market rent would be capped at LHA under option 2. For SE15 neither would be capped. The tables below this explore what income would be required for this if a household used proportions of their gross income for rent. For a 4 bed, even at target rent, if you use the 25% gross income this is beyond the universal credit cap but within a 30% gross income figure. </t>
  </si>
  <si>
    <t>Proportions of market rents and the income required to afford this</t>
  </si>
  <si>
    <t>LHA</t>
  </si>
  <si>
    <t>0 to -£20</t>
  </si>
  <si>
    <r>
      <t xml:space="preserve">Market Rents and Target Rent </t>
    </r>
    <r>
      <rPr>
        <b/>
        <sz val="10"/>
        <color indexed="10"/>
        <rFont val="Arial"/>
        <family val="2"/>
      </rPr>
      <t>(red=above LHA)</t>
    </r>
  </si>
  <si>
    <t>Total benefits claimed excluding housing benefit</t>
  </si>
  <si>
    <t xml:space="preserve">Postcodes don’t exactly match the Southwark boundary as the map on the right demonstrates. </t>
  </si>
  <si>
    <t>Option 1- Unrestricted 80% market rent for 1 and 2 bed, social rent 3 bed plus</t>
  </si>
  <si>
    <t>Option 2- LHA capped 80% 1 bed, 70% 2 bed, social rent 3 bed plus</t>
  </si>
  <si>
    <t>Option 3- LHA capped 80% 1 bed, 60% 2 bed, social rent 3 bed plus</t>
  </si>
  <si>
    <t>Data for summary tables below</t>
  </si>
  <si>
    <t>Place</t>
  </si>
  <si>
    <t>Kennington</t>
  </si>
  <si>
    <t>East Dulwich</t>
  </si>
  <si>
    <t>Herne Hill</t>
  </si>
  <si>
    <t>Bankside</t>
  </si>
  <si>
    <t>-</t>
  </si>
  <si>
    <t>Market rent</t>
  </si>
  <si>
    <t xml:space="preserve">Median </t>
  </si>
  <si>
    <t xml:space="preserve">Mean </t>
  </si>
  <si>
    <t xml:space="preserve">4+ </t>
  </si>
  <si>
    <t xml:space="preserve">SE5 </t>
  </si>
  <si>
    <t xml:space="preserve">SE1 </t>
  </si>
  <si>
    <t xml:space="preserve">SE17 </t>
  </si>
  <si>
    <t xml:space="preserve">SE16 </t>
  </si>
  <si>
    <t xml:space="preserve">SE15 </t>
  </si>
  <si>
    <t xml:space="preserve">SE11 </t>
  </si>
  <si>
    <t xml:space="preserve">SE24 </t>
  </si>
  <si>
    <t xml:space="preserve">SE22 </t>
  </si>
  <si>
    <t xml:space="preserve">SE21 </t>
  </si>
  <si>
    <t>Bedspaces</t>
  </si>
  <si>
    <t>Bedsits</t>
  </si>
  <si>
    <t>Southwark</t>
  </si>
  <si>
    <t>Data used and link</t>
  </si>
  <si>
    <t>Assumptions</t>
  </si>
  <si>
    <t>The data are taken from the Regulatory and Statistical Return (RSR), Part Ib, and cover private Registered Provider rent levels as at 31 March 2010. These tables include data from all RPs that completed the long version of the RSR and made a valid return. (In general those RPs that own or manage 1,000 or more units and/or bedspaces, including shared ownership dwellings, complete the long version of the RSR.)</t>
  </si>
  <si>
    <r>
      <t>Target rent</t>
    </r>
    <r>
      <rPr>
        <sz val="10"/>
        <rFont val="Arial"/>
      </rPr>
      <t xml:space="preserve"> is the average for all stock for which target rents have been reported. Not all HA properties have been allocated a target rent because of permitted deferment of rent restructuring in specific cases. The target rent is the net rent level (at current prices) to be met by the end of the ten-year rent-restructuring implementing period in 2012. However, some supported housing developed with high levels of private finance and meeting certain criteria are excluded from the rent restructuring framework (see Housing Corporation Circular 05/03).</t>
    </r>
  </si>
  <si>
    <t>No inflation on average 2009/10 target rents</t>
  </si>
  <si>
    <t>One Bedroom</t>
  </si>
  <si>
    <t>Two Bedrooms</t>
  </si>
  <si>
    <t>Three Bedrooms</t>
  </si>
  <si>
    <t>Four Bedrooms</t>
  </si>
  <si>
    <t>Five Bedrooms</t>
  </si>
  <si>
    <t>Six+ Bedrooms</t>
  </si>
  <si>
    <t>All properties</t>
  </si>
  <si>
    <t>  net rent  </t>
  </si>
  <si>
    <t>  s.charge  </t>
  </si>
  <si>
    <t>  gross  </t>
  </si>
  <si>
    <t>  stock  </t>
  </si>
  <si>
    <t>  target rent  </t>
  </si>
  <si>
    <t>  target stock  </t>
  </si>
  <si>
    <t>Housing association rents (2009/10)</t>
  </si>
  <si>
    <t>Southwark, local authority</t>
  </si>
  <si>
    <t>RSR Housing Association data</t>
  </si>
  <si>
    <t>http://www.dataspring.org.uk/dataservices/IntRGtables.asp</t>
  </si>
  <si>
    <r>
      <t xml:space="preserve">Breakdown of HA rents by gross rents, net rents and service charges HA target rents </t>
    </r>
    <r>
      <rPr>
        <i/>
        <sz val="9"/>
        <color indexed="8"/>
        <rFont val="Verdana"/>
        <family val="2"/>
      </rPr>
      <t>(Table B3 of the Rent Guide)</t>
    </r>
  </si>
  <si>
    <t>* - includes data from all housing associations that completed the long version of the RSR and made a valid return. From 2007 onwards only Housing Associations that own and/or manage 1,000 or more units and/or bedspaces are required to complete the RSR long form. This increased from 250 or more in previous years.</t>
  </si>
  <si>
    <t xml:space="preserve">The data include general needs housing, but exclude Estate Renewal Challenge Fund stock, all supported housing and housing for older people. </t>
  </si>
  <si>
    <t>All rents are expressed in £s per week.</t>
  </si>
  <si>
    <t>The average gross rents were calculated by adding the average service charge (averaged across all stock, including stock that has no service charge) to the average net rent for each property size.</t>
  </si>
  <si>
    <t>(2011 data may be published on the 15th August)</t>
  </si>
  <si>
    <t xml:space="preserve">Tenure </t>
  </si>
  <si>
    <t xml:space="preserve">Owned outright </t>
  </si>
  <si>
    <t xml:space="preserve">Owned with a mortgage </t>
  </si>
  <si>
    <t xml:space="preserve">Rent from Council </t>
  </si>
  <si>
    <t xml:space="preserve">Rent from RSL </t>
  </si>
  <si>
    <t xml:space="preserve">Private rent </t>
  </si>
  <si>
    <t xml:space="preserve">Household Type </t>
  </si>
  <si>
    <t xml:space="preserve">Single person </t>
  </si>
  <si>
    <t xml:space="preserve">Lone parent </t>
  </si>
  <si>
    <t xml:space="preserve">Adult couple </t>
  </si>
  <si>
    <t xml:space="preserve">Adult couple with children </t>
  </si>
  <si>
    <t xml:space="preserve">Group of adults </t>
  </si>
  <si>
    <t xml:space="preserve">Group of adults with children </t>
  </si>
  <si>
    <t xml:space="preserve">All pensioner </t>
  </si>
  <si>
    <t xml:space="preserve">Southwark Total </t>
  </si>
  <si>
    <t xml:space="preserve">- </t>
  </si>
  <si>
    <t>Aylsebury Estate</t>
  </si>
  <si>
    <t xml:space="preserve">Bermondsey </t>
  </si>
  <si>
    <t xml:space="preserve">Less than £5,000 </t>
  </si>
  <si>
    <t xml:space="preserve">£5,000-£9,999 </t>
  </si>
  <si>
    <t xml:space="preserve">£10,000-£14,999 </t>
  </si>
  <si>
    <t xml:space="preserve">£15,000-£19,999 </t>
  </si>
  <si>
    <t xml:space="preserve">£20,000-£29,999 </t>
  </si>
  <si>
    <t xml:space="preserve">£30,000-£39,999 </t>
  </si>
  <si>
    <t xml:space="preserve">£40,000-£59,999 </t>
  </si>
  <si>
    <t xml:space="preserve">£60,000 or more </t>
  </si>
  <si>
    <t xml:space="preserve">Total </t>
  </si>
  <si>
    <t>Aylesbury</t>
  </si>
  <si>
    <t>Number</t>
  </si>
  <si>
    <t>Proportion</t>
  </si>
  <si>
    <t>Borough and Bankside</t>
  </si>
  <si>
    <t>Camberwell</t>
  </si>
  <si>
    <t>Dulwich</t>
  </si>
  <si>
    <t>Nunhead and Peckham</t>
  </si>
  <si>
    <t>Peckham</t>
  </si>
  <si>
    <t>Rotherhithe</t>
  </si>
  <si>
    <t>Walworth</t>
  </si>
  <si>
    <t>Size</t>
  </si>
  <si>
    <t>Median</t>
  </si>
  <si>
    <t>Area</t>
  </si>
  <si>
    <t>Weekly</t>
  </si>
  <si>
    <t>Monthly</t>
  </si>
  <si>
    <t>https://lha-direct.voa.gov.uk/search.aspx</t>
  </si>
  <si>
    <t>60% Market Rent</t>
  </si>
  <si>
    <t>70% Market Rent</t>
  </si>
  <si>
    <t>80% Market Rent</t>
  </si>
  <si>
    <t>100% Market Rent</t>
  </si>
  <si>
    <t>50% market Rent</t>
  </si>
  <si>
    <t>Median weekly market rent</t>
  </si>
  <si>
    <t>Annual Income required to afford rent 25% gross income</t>
  </si>
  <si>
    <t>Annual Income required to afford rent 30% gross income</t>
  </si>
  <si>
    <t>1 bed</t>
  </si>
  <si>
    <t>2 bed</t>
  </si>
  <si>
    <t>3 bed</t>
  </si>
  <si>
    <t>4 bed</t>
  </si>
  <si>
    <t>Southwark Postcodes</t>
  </si>
  <si>
    <t>Notes</t>
  </si>
  <si>
    <t>Current LHA https://lha-direct.voa.gov.uk/search.aspx</t>
  </si>
  <si>
    <t>Household incomes in the Housing Requirements Study 2008</t>
  </si>
  <si>
    <t>Target Rents 2009/10</t>
  </si>
  <si>
    <t>Explanation of tables</t>
  </si>
  <si>
    <t>Target rent+SC</t>
  </si>
  <si>
    <t>Target rent + SC  (weekly)</t>
  </si>
  <si>
    <t>Singles</t>
  </si>
  <si>
    <t>2  bed</t>
  </si>
  <si>
    <t>4 bed plus</t>
  </si>
  <si>
    <t xml:space="preserve">social </t>
  </si>
  <si>
    <t>social</t>
  </si>
  <si>
    <t>Proposed Options</t>
  </si>
  <si>
    <t>Greater than LHA</t>
  </si>
  <si>
    <t>Set to LHA</t>
  </si>
  <si>
    <t>Annual income required at 25% of gross income</t>
  </si>
  <si>
    <t>Annual income required at 30% of gross income</t>
  </si>
  <si>
    <t>Weekly LHA</t>
  </si>
  <si>
    <t>Weekly Universal credit cap</t>
  </si>
  <si>
    <t>Annual Universal credit cap</t>
  </si>
  <si>
    <t>Total benefits claimed excluding Housing costs</t>
  </si>
  <si>
    <t>Remainder of benefits available for Rent &amp; Service Charge</t>
  </si>
  <si>
    <t>Couple with no dependants</t>
  </si>
  <si>
    <t>Couple with 1 child</t>
  </si>
  <si>
    <t>Couple with 2 children</t>
  </si>
  <si>
    <t>Couple with 3 children</t>
  </si>
  <si>
    <t>Couple with 4 children</t>
  </si>
  <si>
    <t>Couple with 5 children</t>
  </si>
  <si>
    <t>Couple with 6 children</t>
  </si>
  <si>
    <t>Single parent with 1 child</t>
  </si>
  <si>
    <t>Single parent with 2 children</t>
  </si>
  <si>
    <t>Single parent with 3 children</t>
  </si>
  <si>
    <t>Single parent with 4 children</t>
  </si>
  <si>
    <t>Single parent with 5 children</t>
  </si>
  <si>
    <t>Single parent with 6 children</t>
  </si>
  <si>
    <t>Lone parent under 18</t>
  </si>
  <si>
    <t>Lone parent over 18</t>
  </si>
  <si>
    <t>50% Market</t>
  </si>
  <si>
    <t>60% Market</t>
  </si>
  <si>
    <t>70% Market</t>
  </si>
  <si>
    <t>80% market</t>
  </si>
  <si>
    <t>Target rent</t>
  </si>
  <si>
    <t>Requirement</t>
  </si>
  <si>
    <t xml:space="preserve">Bed rooms </t>
  </si>
  <si>
    <t xml:space="preserve">Bed spaces </t>
  </si>
  <si>
    <t>Benefits</t>
  </si>
  <si>
    <t>Less than -£20</t>
  </si>
  <si>
    <t>40% Market</t>
  </si>
  <si>
    <t>More than 80%</t>
  </si>
  <si>
    <t>40% to 80%</t>
  </si>
  <si>
    <t>Less than 40%</t>
  </si>
  <si>
    <t>Market Rents and Target Rent (red=above LHA)</t>
  </si>
  <si>
    <t>80% Market</t>
  </si>
  <si>
    <t>90% Market</t>
  </si>
  <si>
    <t>100% Market</t>
  </si>
  <si>
    <t>1 bed Market Rent</t>
  </si>
  <si>
    <t>2 bed Market Rent</t>
  </si>
  <si>
    <t>3 bed Market Rent</t>
  </si>
  <si>
    <t>4 bed+ Market Rent</t>
  </si>
  <si>
    <t>Input area/postcode</t>
  </si>
  <si>
    <t>(Change the postcode above to update all the data and graphs)</t>
  </si>
  <si>
    <t>Universal Credit</t>
  </si>
  <si>
    <t>Bed spaces required</t>
  </si>
  <si>
    <t>Outside universal credit</t>
  </si>
  <si>
    <t>Bed rooms required</t>
  </si>
  <si>
    <t>Children</t>
  </si>
  <si>
    <t>WEEKLY INCOME</t>
  </si>
  <si>
    <t>HOUSEHOLD INCOME DISTRIBUTION</t>
  </si>
  <si>
    <t>30% GROSS WEEKLY INCOME</t>
  </si>
  <si>
    <t>25% GROSS WEEKLY INCOME</t>
  </si>
  <si>
    <t>ANNUAL GROSS INCOME</t>
  </si>
  <si>
    <t>Figure 34 Mean and Median Household Income by Tenure, Household Type, Health Problem and Ethnic Group (Source: Southwark Household Survey 2008. Note: Figures rounded to nearest 100)</t>
  </si>
  <si>
    <t>Key to table below</t>
  </si>
  <si>
    <t>Greater than or equal to universal credit cap</t>
  </si>
  <si>
    <t>Target Rents + Service Charge</t>
  </si>
  <si>
    <t>Annual LHA</t>
  </si>
  <si>
    <t>30% Median income</t>
  </si>
  <si>
    <t xml:space="preserve">Summary of the proposed options for </t>
  </si>
  <si>
    <t>Areas</t>
  </si>
  <si>
    <t>Key place</t>
  </si>
  <si>
    <t>Lower of 80% Market Rent or LHA</t>
  </si>
  <si>
    <t>Lower of 70% Market Rent or LHA</t>
  </si>
  <si>
    <t>Lower of 60% Market Rent or LHA</t>
  </si>
  <si>
    <t>Median MR</t>
  </si>
  <si>
    <t>Couples and families</t>
  </si>
  <si>
    <t>Annual</t>
  </si>
  <si>
    <t>30% Single person median income</t>
  </si>
  <si>
    <t>30% Lone parent median income</t>
  </si>
  <si>
    <t>30% Adult couple median income</t>
  </si>
  <si>
    <t>30% Adult couple with children median income</t>
  </si>
  <si>
    <t>Note: All the following sheets use this base data, these can be adjusted to test impacts of different figures or for the annual update.</t>
  </si>
  <si>
    <r>
      <t xml:space="preserve">Explanation - </t>
    </r>
    <r>
      <rPr>
        <sz val="10"/>
        <rFont val="Arial"/>
      </rPr>
      <t>This tab starts looking at proportions of market rent. The orange shading indicates where the proportion of market rent is higher than the LHA rate. The following rows of tables show the annual incomes required to afford this using up varying proportions of household income. The tables shows that very high annual incomes are required to afford higher proportions of market rents, especially on larger bed sizes.</t>
    </r>
  </si>
  <si>
    <t xml:space="preserve">Southwark Housing Requirements Study 2008 (published in 2009) </t>
  </si>
  <si>
    <t xml:space="preserve"> </t>
  </si>
  <si>
    <t>Southwark Housing Requirements Study 2008 (published 2009)</t>
  </si>
  <si>
    <t>Target rents and service charges (taken from Rents report 2009/10)</t>
  </si>
  <si>
    <t>Target rent+service charge</t>
  </si>
  <si>
    <t>After 40% market rent</t>
  </si>
  <si>
    <t>After 50% market rent</t>
  </si>
  <si>
    <t>After 60% market rent</t>
  </si>
  <si>
    <t>After 70% market rent</t>
  </si>
  <si>
    <t>After 80% market rent</t>
  </si>
  <si>
    <t>Universal credit caps</t>
  </si>
  <si>
    <t>These figures include non-housing benefits</t>
  </si>
  <si>
    <r>
      <t xml:space="preserve">Explanation - </t>
    </r>
    <r>
      <rPr>
        <sz val="10"/>
        <rFont val="Arial"/>
      </rPr>
      <t>This tab explores  30% of incomes from the Housing Requirements Study 2008 (published in 2009). In Southwark an adult couple with no children can afford quite a high proportion of market rent on a one bed and fairly high on fairly high proportion on a two bed. But on average, couples with children will be able to afford a maximum of 45% market rent a two bed. So this shows that the affordable rent product is most suitable for couples with no children. Income figures in the study included non-housing benefits.</t>
    </r>
  </si>
  <si>
    <t>Including non-housing benefits</t>
  </si>
  <si>
    <t>Inner South East London</t>
  </si>
  <si>
    <t>Target rent + service charge 2009/10</t>
  </si>
  <si>
    <t>Proposed scheme checker</t>
  </si>
  <si>
    <t>Proposed</t>
  </si>
  <si>
    <t>Postcode 1</t>
  </si>
  <si>
    <t>Postcode 2</t>
  </si>
  <si>
    <t>Borough</t>
  </si>
  <si>
    <t>Bedroom</t>
  </si>
  <si>
    <t>Rate</t>
  </si>
  <si>
    <t>Proposed rents and market rents</t>
  </si>
  <si>
    <t>Steps</t>
  </si>
  <si>
    <t>1 - Put in the propsed rents in the yellow box</t>
  </si>
  <si>
    <t>2 - Double check figures are latest LHA</t>
  </si>
  <si>
    <t>.=Less than 65%</t>
  </si>
  <si>
    <t>Percentage of market rent or LHA</t>
  </si>
  <si>
    <t>Housing Market Trends Bulletin (data analysed from findaproperty.com's website)</t>
  </si>
  <si>
    <t>Data for</t>
  </si>
  <si>
    <t>1.   The benefit cap will not apply to households where a person, their partner, any children they are responsible for and who live with them, qualify for Working Tax Credit or receive any of the following benefits:</t>
  </si>
  <si>
    <t>Disability Living Allowance</t>
  </si>
  <si>
    <t>Personal Independence Payment</t>
  </si>
  <si>
    <t>Attendance Allowance</t>
  </si>
  <si>
    <t>Constant Attendance Allowance</t>
  </si>
  <si>
    <t>Employment and Support Allowance, if paid with the support component</t>
  </si>
  <si>
    <t>War Widows or Widower's Pension</t>
  </si>
  <si>
    <t>Industrial Injuries Benefit</t>
  </si>
  <si>
    <t>2.   One-off payments e.g. Social Fund Loans and non-cash benefits, for example Free School Meals, will not be included in the assessment of benefit income.</t>
  </si>
  <si>
    <t>3.   The following benefits all count when working out how much a person can get a week:</t>
  </si>
  <si>
    <t>Bereavement Allowance</t>
  </si>
  <si>
    <t>Carer’s Allowance</t>
  </si>
  <si>
    <t>Child Benefit</t>
  </si>
  <si>
    <t>Child Tax Credit</t>
  </si>
  <si>
    <t>Employment and Support Allowance (except where it is paid with the support component)</t>
  </si>
  <si>
    <t>Guardian’s Allowance</t>
  </si>
  <si>
    <t>Housing Benefit</t>
  </si>
  <si>
    <t>Incapacity Benefit</t>
  </si>
  <si>
    <t>Income Support</t>
  </si>
  <si>
    <t>Jobseeker's Allowance</t>
  </si>
  <si>
    <t>Maternity Allowance</t>
  </si>
  <si>
    <t>Severe Disablement Allowance</t>
  </si>
  <si>
    <t>Widowed Parent’s Allowance</t>
  </si>
  <si>
    <t>Widowed Mother’s Allowance</t>
  </si>
  <si>
    <t>Widow’s Pension</t>
  </si>
  <si>
    <t>Widow’s Pension Age-Related</t>
  </si>
  <si>
    <t>4.   From October 2013, tax credits and benefits including Jobseeker’s Allowance, Employment and Support Allowance, Income Support, Working Tax Credit, Child Tax Credit, Housing Benefit and Income Support will start to be merged into a single Universal Credit payment.</t>
  </si>
  <si>
    <t>After target rent plus service charge</t>
  </si>
  <si>
    <t>Cant afford up to 40%</t>
  </si>
  <si>
    <t>Can afford over 40%</t>
  </si>
  <si>
    <t>Can afford 40% to 80%</t>
  </si>
  <si>
    <t>Can afford more than 80%</t>
  </si>
  <si>
    <t>3 - Choose postcodes in the two yellow drop downs</t>
  </si>
  <si>
    <t>May 2012 – Government gives one year’s notice of benefit cap</t>
  </si>
  <si>
    <t>http://www.dwp.gov.uk/newsroom/press-releases/2012/may-2012/dwp046-12.shtml</t>
  </si>
  <si>
    <t>(From the notes to editors section)</t>
  </si>
  <si>
    <t>Income support personal allowance</t>
  </si>
  <si>
    <t>http://www.hmrc.gov.uk/rates/taxcredits.htm</t>
  </si>
  <si>
    <t>(Yearly figures divided by 52 weeks)</t>
  </si>
  <si>
    <t>Child tax calculations 2012</t>
  </si>
  <si>
    <t>Family element (*1)</t>
  </si>
  <si>
    <t>Child element (*No of children)</t>
  </si>
  <si>
    <t>1 child</t>
  </si>
  <si>
    <t>2 children</t>
  </si>
  <si>
    <t>3 children</t>
  </si>
  <si>
    <t>4 children</t>
  </si>
  <si>
    <t>5 children</t>
  </si>
  <si>
    <t>6 children</t>
  </si>
  <si>
    <t>Single under 25</t>
  </si>
  <si>
    <t>Single over 25</t>
  </si>
  <si>
    <t>http://www.direct.gov.uk/en/MoneyTaxAndBenefits/BenefitsTaxCreditsAndOtherSupport/On_a_low_income/DG_185670</t>
  </si>
  <si>
    <t>*1 Universal credit will replace the child tax credit</t>
  </si>
  <si>
    <t>Child Benefit*2</t>
  </si>
  <si>
    <t>Council tax benefits*3</t>
  </si>
  <si>
    <t xml:space="preserve">*3 Council Tax benefit is not included within the household benefits cap
For now, we have assumed that Council tax benefit will be zero as it is to be decided at local authority level
</t>
  </si>
  <si>
    <t>Maximum Household benefits Universal credit cap level at 2013 levels*4</t>
  </si>
  <si>
    <t>The first tab "Formula data" contains all the data used by the following tabs. The last tabs (those starting D-) are the full original data sets for information. The first tab can be adjusted to model updated figures. No other figures should be adjusted as it could cause formulas to fail. Some sheets include a black shaded table with a yellow drop down so you can choose "Southwark" or single postcodes. This will update all the charts and tables on this sheet, but on this sheet only.</t>
  </si>
  <si>
    <t>Weekly rents</t>
  </si>
  <si>
    <t>Maximum levels of "affordable rent" for non-working households within benefit cap taking account of other benefits received</t>
  </si>
  <si>
    <t xml:space="preserve">This model has only used the bedrooms figure and has put singles under 25 as one bed flat rather than studio, because we would not expect studio "affordable rent" properties. It gives varying proportions of market rent with red shading where this is above the LHA (but does not cap). It then looks at the benefits used (income support, child benefit and child tax credit). Only the total is given here but the original data is included in the data tabs. </t>
  </si>
  <si>
    <t>65% Market Rent</t>
  </si>
  <si>
    <t>40% market Rent</t>
  </si>
  <si>
    <t xml:space="preserve">=%market rent is more than </t>
  </si>
  <si>
    <t>Monthly rents</t>
  </si>
  <si>
    <r>
      <t xml:space="preserve">Explanation - </t>
    </r>
    <r>
      <rPr>
        <sz val="10"/>
        <rFont val="Arial"/>
      </rPr>
      <t xml:space="preserve">This tab looks at what benefits different types of households would be likely to receive if their income was solely from benefits. It compares this to the benefit cap to see what is likely to be remaining for housing benfit/housing element for rents and service charges. There is a yellow drop down in the black shaded table to choose the area/postcode but Southwark is always the second main table for comparison. </t>
    </r>
  </si>
  <si>
    <t>It then looks at what maximum possible benefit could be remaining within the benefit cap after paying varying proportions of market rent. The household would not actually receive this unless they were entitled to other benefits. For larger households this tends to be a negative figure, this is yellow shaded if the figure is within minus £20 and orange if beyond -£20. For larger households this applies to even the target rents. This shows that higher proportions of market rent are only suitable for smaller households, if they are not working. The last column gives the actual proportion of market rent a household type could potentially afford. The dark green ones are where a household could potentially afford more than 80% of the market rent using HB. The lighter green is where this is between 40% and 80%. And red is where they cant even afford 40% of lower.</t>
  </si>
  <si>
    <t>Potential extra rent that could be covered by housing benefit/element within the benefit cap for non working households after removing estimates for elements for income support, personal allowance, child tax credit and child benefit, and the applicable proportion of Southwark market rent</t>
  </si>
  <si>
    <t>Maximum % of market rent the household could afford (assuming no cap on the housing element, except the total benefit cap), assuming only the housing element is used on rent.</t>
  </si>
  <si>
    <t>Maximum Household benefits cap level</t>
  </si>
  <si>
    <t>Lower Quartile</t>
  </si>
  <si>
    <t>Affordable Rent Study June 2014 - Appendix</t>
  </si>
  <si>
    <r>
      <t xml:space="preserve">This is the June 2014 update of the </t>
    </r>
    <r>
      <rPr>
        <i/>
        <sz val="10"/>
        <rFont val="Arial"/>
        <family val="2"/>
      </rPr>
      <t>Southwark Affordable Rent Study appendix data</t>
    </r>
  </si>
  <si>
    <t>Market Trends Bulletins June 2014</t>
  </si>
  <si>
    <t>LHA - April 2014</t>
  </si>
  <si>
    <t xml:space="preserve">4* This study has used the announced benefit caps of £350 &amp; £500. </t>
  </si>
  <si>
    <t>Benefit Analysis 2014 (Non working households)</t>
  </si>
  <si>
    <t>Child tax credit at 2014 levels</t>
  </si>
  <si>
    <t xml:space="preserve">*2 There are two separate amounts, with a higher amount for your eldest (or only) child. You get £20.50 a week for your eldest child and £13.55 a week for each of your other children. </t>
  </si>
  <si>
    <t>Status</t>
  </si>
  <si>
    <t>Age</t>
  </si>
  <si>
    <t>Weekly payment</t>
  </si>
  <si>
    <t>Single</t>
  </si>
  <si>
    <t>16 to 24</t>
  </si>
  <si>
    <t>25 or over</t>
  </si>
  <si>
    <t>Lone parent</t>
  </si>
  <si>
    <t>16 to 17</t>
  </si>
  <si>
    <t>18 or over</t>
  </si>
  <si>
    <t>Couples</t>
  </si>
  <si>
    <t>Both under 18</t>
  </si>
  <si>
    <t>One under 18, the other 18 to 24</t>
  </si>
  <si>
    <t>One under 18, the other 25 or over</t>
  </si>
  <si>
    <t>Both 18 or over</t>
  </si>
  <si>
    <t xml:space="preserve">Proposed options against median rents in </t>
  </si>
  <si>
    <t>in</t>
  </si>
  <si>
    <t>October 2014</t>
  </si>
  <si>
    <t>Data used in the Affordable Rent Study Model December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</si>
</sst>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164" formatCode="&quot;£&quot;#,##0"/>
    <numFmt numFmtId="165" formatCode="#,##0.00_ ;[Red]\-#,##0.00\ "/>
    <numFmt numFmtId="166" formatCode="###0"/>
    <numFmt numFmtId="167" formatCode="###0.00"/>
  </numFmts>
  <fonts count="41" x14ac:knownFonts="1">
    <font>
      <sz val="10"/>
      <name val="Arial"/>
    </font>
    <font>
      <sz val="10"/>
      <name val="Arial"/>
    </font>
    <font>
      <sz val="10"/>
      <name val="Arial"/>
    </font>
    <font>
      <b/>
      <sz val="10"/>
      <name val="Arial"/>
      <family val="2"/>
    </font>
    <font>
      <sz val="10"/>
      <name val="Arial"/>
      <family val="2"/>
    </font>
    <font>
      <u/>
      <sz val="10"/>
      <color indexed="12"/>
      <name val="Arial"/>
    </font>
    <font>
      <b/>
      <sz val="14"/>
      <name val="Arial"/>
      <family val="2"/>
    </font>
    <font>
      <sz val="10"/>
      <color indexed="10"/>
      <name val="Arial"/>
    </font>
    <font>
      <sz val="12"/>
      <name val="Arial"/>
      <family val="2"/>
    </font>
    <font>
      <sz val="9"/>
      <color indexed="8"/>
      <name val="Verdana"/>
      <family val="2"/>
    </font>
    <font>
      <b/>
      <sz val="9"/>
      <color indexed="23"/>
      <name val="Verdana"/>
      <family val="2"/>
    </font>
    <font>
      <sz val="8.5"/>
      <color indexed="8"/>
      <name val="Verdana"/>
      <family val="2"/>
    </font>
    <font>
      <b/>
      <sz val="12"/>
      <color indexed="23"/>
      <name val="Verdana"/>
      <family val="2"/>
    </font>
    <font>
      <i/>
      <sz val="9"/>
      <color indexed="8"/>
      <name val="Verdana"/>
      <family val="2"/>
    </font>
    <font>
      <sz val="11"/>
      <color indexed="8"/>
      <name val="Arial"/>
      <family val="2"/>
    </font>
    <font>
      <b/>
      <sz val="8"/>
      <color indexed="8"/>
      <name val="Calibri"/>
      <family val="2"/>
    </font>
    <font>
      <sz val="8"/>
      <color indexed="8"/>
      <name val="Calibri"/>
      <family val="2"/>
    </font>
    <font>
      <sz val="10"/>
      <color indexed="8"/>
      <name val="Arial"/>
    </font>
    <font>
      <b/>
      <sz val="12"/>
      <name val="Arial"/>
      <family val="2"/>
    </font>
    <font>
      <sz val="10"/>
      <color indexed="8"/>
      <name val="Arial"/>
      <family val="2"/>
    </font>
    <font>
      <b/>
      <sz val="10"/>
      <color indexed="8"/>
      <name val="Arial"/>
      <family val="2"/>
    </font>
    <font>
      <b/>
      <sz val="16"/>
      <name val="Arial"/>
      <family val="2"/>
    </font>
    <font>
      <b/>
      <u/>
      <sz val="16"/>
      <name val="Arial"/>
      <family val="2"/>
    </font>
    <font>
      <b/>
      <sz val="16"/>
      <color indexed="8"/>
      <name val="Arial"/>
      <family val="2"/>
    </font>
    <font>
      <b/>
      <sz val="22"/>
      <name val="Arial"/>
      <family val="2"/>
    </font>
    <font>
      <i/>
      <sz val="10"/>
      <name val="Arial"/>
      <family val="2"/>
    </font>
    <font>
      <sz val="9"/>
      <name val="Arial"/>
      <family val="2"/>
    </font>
    <font>
      <b/>
      <sz val="10"/>
      <color indexed="10"/>
      <name val="Arial"/>
      <family val="2"/>
    </font>
    <font>
      <b/>
      <sz val="10"/>
      <color indexed="9"/>
      <name val="Arial"/>
      <family val="2"/>
    </font>
    <font>
      <sz val="10"/>
      <color indexed="9"/>
      <name val="Arial"/>
      <family val="2"/>
    </font>
    <font>
      <u/>
      <sz val="10"/>
      <color indexed="12"/>
      <name val="Arial"/>
      <family val="2"/>
    </font>
    <font>
      <b/>
      <sz val="9"/>
      <name val="Arial"/>
      <family val="2"/>
    </font>
    <font>
      <sz val="8"/>
      <color indexed="8"/>
      <name val="Arial"/>
      <family val="2"/>
    </font>
    <font>
      <b/>
      <sz val="8"/>
      <color indexed="8"/>
      <name val="Arial"/>
      <family val="2"/>
    </font>
    <font>
      <b/>
      <sz val="10"/>
      <color indexed="8"/>
      <name val="Calibri"/>
      <family val="2"/>
    </font>
    <font>
      <sz val="8"/>
      <name val="Arial"/>
    </font>
    <font>
      <sz val="9"/>
      <color indexed="8"/>
      <name val="Arial"/>
    </font>
    <font>
      <sz val="12"/>
      <name val="Arial"/>
    </font>
    <font>
      <b/>
      <sz val="16"/>
      <name val="Arial"/>
    </font>
    <font>
      <i/>
      <sz val="10"/>
      <color indexed="10"/>
      <name val="Arial"/>
      <family val="2"/>
    </font>
    <font>
      <b/>
      <sz val="10"/>
      <name val="Arial"/>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indexed="42"/>
        <bgColor indexed="64"/>
      </patternFill>
    </fill>
    <fill>
      <patternFill patternType="solid">
        <fgColor indexed="40"/>
        <bgColor indexed="64"/>
      </patternFill>
    </fill>
    <fill>
      <patternFill patternType="solid">
        <fgColor indexed="8"/>
        <bgColor indexed="64"/>
      </patternFill>
    </fill>
    <fill>
      <patternFill patternType="solid">
        <fgColor indexed="48"/>
        <bgColor indexed="64"/>
      </patternFill>
    </fill>
    <fill>
      <patternFill patternType="solid">
        <fgColor indexed="46"/>
        <bgColor indexed="64"/>
      </patternFill>
    </fill>
    <fill>
      <patternFill patternType="solid">
        <fgColor indexed="11"/>
        <bgColor indexed="64"/>
      </patternFill>
    </fill>
    <fill>
      <patternFill patternType="solid">
        <fgColor indexed="12"/>
        <bgColor indexed="64"/>
      </patternFill>
    </fill>
    <fill>
      <patternFill patternType="solid">
        <fgColor indexed="53"/>
        <bgColor indexed="64"/>
      </patternFill>
    </fill>
    <fill>
      <patternFill patternType="solid">
        <fgColor indexed="52"/>
        <bgColor indexed="64"/>
      </patternFill>
    </fill>
    <fill>
      <patternFill patternType="solid">
        <fgColor indexed="58"/>
        <bgColor indexed="64"/>
      </patternFill>
    </fill>
    <fill>
      <patternFill patternType="solid">
        <fgColor indexed="50"/>
        <bgColor indexed="64"/>
      </patternFill>
    </fill>
    <fill>
      <patternFill patternType="solid">
        <fgColor indexed="15"/>
        <bgColor indexed="64"/>
      </patternFill>
    </fill>
    <fill>
      <patternFill patternType="solid">
        <fgColor indexed="16"/>
        <bgColor indexed="64"/>
      </patternFill>
    </fill>
    <fill>
      <patternFill patternType="solid">
        <fgColor indexed="41"/>
        <bgColor indexed="9"/>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style="medium">
        <color indexed="64"/>
      </right>
      <top style="medium">
        <color indexed="64"/>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64"/>
      </right>
      <top style="medium">
        <color indexed="9"/>
      </top>
      <bottom style="medium">
        <color indexed="9"/>
      </bottom>
      <diagonal/>
    </border>
    <border>
      <left style="medium">
        <color indexed="9"/>
      </left>
      <right style="medium">
        <color indexed="9"/>
      </right>
      <top style="medium">
        <color indexed="9"/>
      </top>
      <bottom style="medium">
        <color indexed="64"/>
      </bottom>
      <diagonal/>
    </border>
    <border>
      <left style="medium">
        <color indexed="9"/>
      </left>
      <right style="medium">
        <color indexed="64"/>
      </right>
      <top style="medium">
        <color indexed="9"/>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9"/>
      </right>
      <top style="medium">
        <color indexed="64"/>
      </top>
      <bottom/>
      <diagonal/>
    </border>
    <border>
      <left style="medium">
        <color indexed="9"/>
      </left>
      <right style="medium">
        <color indexed="9"/>
      </right>
      <top style="medium">
        <color indexed="64"/>
      </top>
      <bottom/>
      <diagonal/>
    </border>
    <border>
      <left style="medium">
        <color indexed="9"/>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9"/>
      </right>
      <top style="medium">
        <color indexed="9"/>
      </top>
      <bottom style="medium">
        <color indexed="9"/>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9"/>
      </right>
      <top style="medium">
        <color indexed="9"/>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alignment vertical="top"/>
      <protection locked="0"/>
    </xf>
    <xf numFmtId="9" fontId="2" fillId="0" borderId="0" applyFont="0" applyFill="0" applyBorder="0" applyAlignment="0" applyProtection="0"/>
  </cellStyleXfs>
  <cellXfs count="454">
    <xf numFmtId="0" fontId="0" fillId="0" borderId="0" xfId="0"/>
    <xf numFmtId="0" fontId="3" fillId="0" borderId="0" xfId="0" applyFont="1"/>
    <xf numFmtId="0" fontId="0" fillId="0" borderId="1" xfId="0" applyBorder="1"/>
    <xf numFmtId="2" fontId="0" fillId="0" borderId="1" xfId="0" applyNumberFormat="1" applyBorder="1"/>
    <xf numFmtId="0" fontId="5" fillId="0" borderId="0" xfId="1" applyAlignment="1" applyProtection="1"/>
    <xf numFmtId="0" fontId="0" fillId="2" borderId="1" xfId="0" applyFill="1" applyBorder="1"/>
    <xf numFmtId="0" fontId="0" fillId="0" borderId="0" xfId="0" applyAlignment="1">
      <alignment horizontal="left"/>
    </xf>
    <xf numFmtId="0" fontId="0" fillId="3" borderId="2" xfId="0" applyFill="1" applyBorder="1"/>
    <xf numFmtId="0" fontId="0" fillId="3" borderId="3" xfId="0" applyFill="1" applyBorder="1"/>
    <xf numFmtId="0" fontId="3" fillId="3" borderId="4" xfId="0" applyFont="1" applyFill="1" applyBorder="1"/>
    <xf numFmtId="0" fontId="0" fillId="3" borderId="0" xfId="0" applyFill="1" applyBorder="1"/>
    <xf numFmtId="0" fontId="0" fillId="3" borderId="5" xfId="0" applyFill="1" applyBorder="1"/>
    <xf numFmtId="0" fontId="3" fillId="3" borderId="6" xfId="0" applyFont="1" applyFill="1" applyBorder="1"/>
    <xf numFmtId="0" fontId="0" fillId="3" borderId="7" xfId="0" applyFill="1" applyBorder="1"/>
    <xf numFmtId="0" fontId="0" fillId="3" borderId="8" xfId="0" applyFill="1" applyBorder="1"/>
    <xf numFmtId="0" fontId="9" fillId="3" borderId="1" xfId="0" applyFont="1" applyFill="1" applyBorder="1" applyAlignment="1">
      <alignment vertical="top"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xf>
    <xf numFmtId="0" fontId="9" fillId="3" borderId="1" xfId="0" applyFont="1" applyFill="1" applyBorder="1" applyAlignment="1">
      <alignment horizontal="center" vertical="top" wrapText="1"/>
    </xf>
    <xf numFmtId="0" fontId="12" fillId="0" borderId="0" xfId="0" applyFont="1"/>
    <xf numFmtId="0" fontId="11" fillId="0" borderId="0" xfId="0" applyFont="1" applyAlignment="1">
      <alignment horizontal="left"/>
    </xf>
    <xf numFmtId="0" fontId="9" fillId="0" borderId="0" xfId="0" applyFont="1"/>
    <xf numFmtId="0" fontId="17" fillId="0" borderId="0" xfId="0" applyFont="1"/>
    <xf numFmtId="0" fontId="15" fillId="0" borderId="1" xfId="0" applyFont="1" applyBorder="1" applyAlignment="1">
      <alignment vertical="top" wrapText="1"/>
    </xf>
    <xf numFmtId="6" fontId="16" fillId="0" borderId="1" xfId="0" applyNumberFormat="1" applyFont="1" applyBorder="1" applyAlignment="1">
      <alignment vertical="top" wrapText="1"/>
    </xf>
    <xf numFmtId="0" fontId="15" fillId="2" borderId="1" xfId="0" applyFont="1" applyFill="1" applyBorder="1" applyAlignment="1">
      <alignment vertical="top" wrapText="1"/>
    </xf>
    <xf numFmtId="6" fontId="15" fillId="2" borderId="1" xfId="0" applyNumberFormat="1" applyFont="1" applyFill="1" applyBorder="1" applyAlignment="1">
      <alignment vertical="top" wrapText="1"/>
    </xf>
    <xf numFmtId="0" fontId="19" fillId="0" borderId="1" xfId="0" applyFont="1" applyBorder="1" applyAlignment="1">
      <alignment horizontal="center" vertical="center"/>
    </xf>
    <xf numFmtId="0" fontId="19" fillId="0" borderId="0" xfId="0" applyFont="1" applyAlignment="1">
      <alignment horizontal="center" vertical="center"/>
    </xf>
    <xf numFmtId="0" fontId="19" fillId="0" borderId="1" xfId="0" applyFont="1" applyBorder="1" applyAlignment="1">
      <alignment vertical="center"/>
    </xf>
    <xf numFmtId="0" fontId="17" fillId="2" borderId="1" xfId="0" applyFont="1" applyFill="1" applyBorder="1"/>
    <xf numFmtId="0" fontId="16" fillId="2" borderId="1" xfId="0" applyFont="1" applyFill="1" applyBorder="1" applyAlignment="1">
      <alignment vertical="top" wrapText="1"/>
    </xf>
    <xf numFmtId="2" fontId="19" fillId="0" borderId="1" xfId="0" applyNumberFormat="1" applyFont="1" applyBorder="1" applyAlignment="1">
      <alignment horizontal="center" vertical="center"/>
    </xf>
    <xf numFmtId="2" fontId="19" fillId="0" borderId="1" xfId="0" applyNumberFormat="1" applyFont="1" applyBorder="1" applyAlignment="1">
      <alignment vertical="center"/>
    </xf>
    <xf numFmtId="2" fontId="19" fillId="0" borderId="1" xfId="0" applyNumberFormat="1" applyFont="1" applyBorder="1" applyAlignment="1">
      <alignment vertical="top" wrapText="1"/>
    </xf>
    <xf numFmtId="1" fontId="19" fillId="0" borderId="1" xfId="0" applyNumberFormat="1" applyFont="1" applyBorder="1" applyAlignment="1">
      <alignment vertical="top" wrapText="1"/>
    </xf>
    <xf numFmtId="9" fontId="19" fillId="0" borderId="1" xfId="2" applyFont="1" applyBorder="1" applyAlignment="1">
      <alignment vertical="top"/>
    </xf>
    <xf numFmtId="1" fontId="19" fillId="0" borderId="1" xfId="0" applyNumberFormat="1" applyFont="1" applyBorder="1" applyAlignment="1">
      <alignment vertical="top"/>
    </xf>
    <xf numFmtId="0" fontId="21" fillId="0" borderId="0" xfId="0" applyFont="1"/>
    <xf numFmtId="0" fontId="23" fillId="0" borderId="0" xfId="0" applyFont="1"/>
    <xf numFmtId="0" fontId="0" fillId="0" borderId="0" xfId="0" applyFill="1"/>
    <xf numFmtId="0" fontId="3" fillId="2" borderId="1" xfId="0" applyFont="1" applyFill="1" applyBorder="1"/>
    <xf numFmtId="3" fontId="0" fillId="0" borderId="1" xfId="0" applyNumberFormat="1" applyBorder="1"/>
    <xf numFmtId="3" fontId="0" fillId="0" borderId="0" xfId="0" applyNumberFormat="1"/>
    <xf numFmtId="0" fontId="3" fillId="2" borderId="1" xfId="0" applyFont="1" applyFill="1" applyBorder="1" applyAlignment="1">
      <alignment horizontal="left"/>
    </xf>
    <xf numFmtId="0" fontId="0" fillId="0" borderId="1" xfId="0" applyBorder="1" applyAlignment="1">
      <alignment horizontal="left"/>
    </xf>
    <xf numFmtId="3" fontId="0" fillId="0" borderId="1" xfId="0" applyNumberFormat="1" applyBorder="1" applyAlignment="1">
      <alignment horizontal="left"/>
    </xf>
    <xf numFmtId="0" fontId="17" fillId="4" borderId="1" xfId="0" applyFont="1" applyFill="1" applyBorder="1"/>
    <xf numFmtId="0" fontId="15" fillId="4" borderId="1" xfId="0" applyFont="1" applyFill="1" applyBorder="1" applyAlignment="1">
      <alignment vertical="top" wrapText="1"/>
    </xf>
    <xf numFmtId="6" fontId="16" fillId="4" borderId="1" xfId="0" applyNumberFormat="1" applyFont="1" applyFill="1" applyBorder="1" applyAlignment="1">
      <alignment vertical="top" wrapText="1"/>
    </xf>
    <xf numFmtId="0" fontId="16" fillId="4" borderId="1" xfId="0" applyFont="1" applyFill="1" applyBorder="1" applyAlignment="1">
      <alignment vertical="top" wrapText="1"/>
    </xf>
    <xf numFmtId="0" fontId="15" fillId="5" borderId="1" xfId="0" applyFont="1" applyFill="1" applyBorder="1" applyAlignment="1">
      <alignment vertical="top" wrapText="1"/>
    </xf>
    <xf numFmtId="6" fontId="16" fillId="5" borderId="1" xfId="0" applyNumberFormat="1" applyFont="1" applyFill="1" applyBorder="1" applyAlignment="1">
      <alignment vertical="top" wrapText="1"/>
    </xf>
    <xf numFmtId="1" fontId="19" fillId="5" borderId="1" xfId="0" applyNumberFormat="1" applyFont="1" applyFill="1" applyBorder="1" applyAlignment="1">
      <alignment vertical="top" wrapText="1"/>
    </xf>
    <xf numFmtId="9" fontId="19" fillId="5" borderId="1" xfId="2" applyFont="1" applyFill="1" applyBorder="1" applyAlignment="1">
      <alignment vertical="top"/>
    </xf>
    <xf numFmtId="1" fontId="19" fillId="5" borderId="1" xfId="0" applyNumberFormat="1" applyFont="1" applyFill="1" applyBorder="1" applyAlignment="1">
      <alignment vertical="top"/>
    </xf>
    <xf numFmtId="1" fontId="19" fillId="4" borderId="1" xfId="0" applyNumberFormat="1" applyFont="1" applyFill="1" applyBorder="1" applyAlignment="1">
      <alignment vertical="top" wrapText="1"/>
    </xf>
    <xf numFmtId="9" fontId="19" fillId="4" borderId="1" xfId="2" applyFont="1" applyFill="1" applyBorder="1" applyAlignment="1">
      <alignment vertical="top"/>
    </xf>
    <xf numFmtId="1" fontId="19" fillId="4" borderId="1" xfId="0" applyNumberFormat="1" applyFont="1" applyFill="1" applyBorder="1" applyAlignment="1">
      <alignment vertical="top"/>
    </xf>
    <xf numFmtId="2" fontId="19" fillId="2" borderId="1" xfId="0" applyNumberFormat="1" applyFont="1" applyFill="1" applyBorder="1" applyAlignment="1">
      <alignment vertical="top" wrapText="1"/>
    </xf>
    <xf numFmtId="2" fontId="19" fillId="2" borderId="1" xfId="0" applyNumberFormat="1" applyFont="1" applyFill="1" applyBorder="1"/>
    <xf numFmtId="0" fontId="0" fillId="0" borderId="0" xfId="0" applyAlignment="1">
      <alignment wrapText="1"/>
    </xf>
    <xf numFmtId="0" fontId="0" fillId="6" borderId="1" xfId="0" applyFill="1" applyBorder="1"/>
    <xf numFmtId="0" fontId="0" fillId="7" borderId="1" xfId="0" applyFill="1" applyBorder="1"/>
    <xf numFmtId="0" fontId="0" fillId="0" borderId="0" xfId="0" applyBorder="1"/>
    <xf numFmtId="9" fontId="0" fillId="8" borderId="1" xfId="0" applyNumberFormat="1" applyFill="1" applyBorder="1" applyAlignment="1">
      <alignment horizontal="left"/>
    </xf>
    <xf numFmtId="0" fontId="0" fillId="8" borderId="1" xfId="0" applyFill="1" applyBorder="1"/>
    <xf numFmtId="0" fontId="4" fillId="0" borderId="0" xfId="0" applyFont="1"/>
    <xf numFmtId="9" fontId="0" fillId="2" borderId="1" xfId="0" applyNumberFormat="1" applyFill="1" applyBorder="1" applyAlignment="1">
      <alignment horizontal="left"/>
    </xf>
    <xf numFmtId="0" fontId="3" fillId="2" borderId="1" xfId="0" applyFont="1" applyFill="1" applyBorder="1" applyAlignment="1">
      <alignment horizontal="center"/>
    </xf>
    <xf numFmtId="0" fontId="3" fillId="3" borderId="4" xfId="0" applyFont="1" applyFill="1" applyBorder="1" applyAlignment="1">
      <alignment vertical="top"/>
    </xf>
    <xf numFmtId="0" fontId="21" fillId="3" borderId="9" xfId="0" applyFont="1" applyFill="1" applyBorder="1"/>
    <xf numFmtId="1" fontId="0" fillId="0" borderId="1" xfId="0" applyNumberFormat="1" applyBorder="1"/>
    <xf numFmtId="1" fontId="3" fillId="2" borderId="1" xfId="0" applyNumberFormat="1" applyFont="1" applyFill="1" applyBorder="1"/>
    <xf numFmtId="0" fontId="0" fillId="0" borderId="10" xfId="0" applyBorder="1"/>
    <xf numFmtId="0" fontId="0" fillId="0" borderId="11" xfId="0" applyBorder="1"/>
    <xf numFmtId="0" fontId="3" fillId="2" borderId="12" xfId="0" applyFont="1" applyFill="1" applyBorder="1"/>
    <xf numFmtId="164" fontId="0" fillId="0" borderId="1" xfId="0" applyNumberFormat="1" applyBorder="1"/>
    <xf numFmtId="164" fontId="3" fillId="2" borderId="1" xfId="0" applyNumberFormat="1" applyFont="1" applyFill="1" applyBorder="1"/>
    <xf numFmtId="0" fontId="0" fillId="0" borderId="4" xfId="0" applyBorder="1"/>
    <xf numFmtId="0" fontId="0" fillId="0" borderId="5" xfId="0" applyBorder="1"/>
    <xf numFmtId="0" fontId="3" fillId="2" borderId="10" xfId="0" applyFont="1" applyFill="1" applyBorder="1"/>
    <xf numFmtId="1" fontId="3" fillId="2" borderId="13" xfId="0" applyNumberFormat="1" applyFont="1" applyFill="1" applyBorder="1"/>
    <xf numFmtId="0" fontId="0" fillId="2" borderId="1" xfId="0" applyFill="1" applyBorder="1" applyAlignment="1">
      <alignment horizontal="center" wrapText="1"/>
    </xf>
    <xf numFmtId="8" fontId="0" fillId="0" borderId="1" xfId="0" applyNumberFormat="1" applyBorder="1"/>
    <xf numFmtId="8" fontId="0" fillId="0" borderId="1" xfId="0" applyNumberFormat="1" applyBorder="1" applyAlignment="1">
      <alignment horizontal="center"/>
    </xf>
    <xf numFmtId="2" fontId="0" fillId="6" borderId="1" xfId="0" applyNumberFormat="1" applyFill="1" applyBorder="1"/>
    <xf numFmtId="2" fontId="0" fillId="0" borderId="1" xfId="0" applyNumberFormat="1" applyFill="1" applyBorder="1"/>
    <xf numFmtId="9" fontId="0" fillId="2" borderId="1" xfId="0" applyNumberFormat="1" applyFill="1" applyBorder="1" applyAlignment="1">
      <alignment horizontal="center" wrapText="1"/>
    </xf>
    <xf numFmtId="0" fontId="0" fillId="9" borderId="1" xfId="0" applyFill="1" applyBorder="1"/>
    <xf numFmtId="2" fontId="0" fillId="0" borderId="0" xfId="0" applyNumberFormat="1" applyBorder="1"/>
    <xf numFmtId="0" fontId="21" fillId="0" borderId="1" xfId="0" applyFont="1" applyBorder="1"/>
    <xf numFmtId="0" fontId="0" fillId="0" borderId="1" xfId="0" applyBorder="1" applyAlignment="1">
      <alignment wrapText="1"/>
    </xf>
    <xf numFmtId="2" fontId="0" fillId="2" borderId="1" xfId="0" applyNumberFormat="1" applyFill="1" applyBorder="1"/>
    <xf numFmtId="0" fontId="3" fillId="2" borderId="1" xfId="0" applyFont="1" applyFill="1" applyBorder="1" applyAlignment="1">
      <alignment horizontal="left" wrapText="1"/>
    </xf>
    <xf numFmtId="0" fontId="3" fillId="2" borderId="1" xfId="0" applyFont="1" applyFill="1" applyBorder="1" applyAlignment="1">
      <alignment wrapText="1"/>
    </xf>
    <xf numFmtId="0" fontId="0" fillId="0" borderId="1" xfId="0" applyBorder="1" applyAlignment="1">
      <alignment horizontal="left" wrapText="1"/>
    </xf>
    <xf numFmtId="0" fontId="0" fillId="6" borderId="1" xfId="0" applyFill="1" applyBorder="1" applyAlignment="1">
      <alignment horizontal="center" wrapText="1"/>
    </xf>
    <xf numFmtId="8" fontId="16" fillId="5" borderId="1" xfId="0" applyNumberFormat="1" applyFont="1" applyFill="1" applyBorder="1" applyAlignment="1">
      <alignment vertical="top" wrapText="1"/>
    </xf>
    <xf numFmtId="8" fontId="16" fillId="4" borderId="1" xfId="0" applyNumberFormat="1" applyFont="1" applyFill="1" applyBorder="1" applyAlignment="1">
      <alignment vertical="top" wrapText="1"/>
    </xf>
    <xf numFmtId="8" fontId="16" fillId="0" borderId="1" xfId="0" applyNumberFormat="1" applyFont="1" applyBorder="1" applyAlignment="1">
      <alignment vertical="top" wrapText="1"/>
    </xf>
    <xf numFmtId="2" fontId="20" fillId="0" borderId="1" xfId="0" applyNumberFormat="1" applyFont="1" applyBorder="1" applyAlignment="1">
      <alignment horizontal="left" vertical="center" wrapText="1"/>
    </xf>
    <xf numFmtId="1" fontId="0" fillId="10" borderId="1" xfId="0" applyNumberFormat="1" applyFill="1" applyBorder="1"/>
    <xf numFmtId="1" fontId="0" fillId="10" borderId="13" xfId="0" applyNumberFormat="1" applyFill="1" applyBorder="1"/>
    <xf numFmtId="0" fontId="0" fillId="0" borderId="13" xfId="0" applyBorder="1"/>
    <xf numFmtId="1" fontId="0" fillId="0" borderId="0" xfId="0" applyNumberFormat="1" applyBorder="1"/>
    <xf numFmtId="0" fontId="21" fillId="0" borderId="14" xfId="0" applyFont="1" applyBorder="1" applyAlignment="1"/>
    <xf numFmtId="0" fontId="3" fillId="2" borderId="15" xfId="0" applyFont="1" applyFill="1" applyBorder="1"/>
    <xf numFmtId="0" fontId="17" fillId="4" borderId="16" xfId="0" applyFont="1" applyFill="1" applyBorder="1"/>
    <xf numFmtId="1" fontId="0" fillId="3" borderId="0" xfId="0" applyNumberFormat="1" applyFill="1" applyBorder="1"/>
    <xf numFmtId="165" fontId="0" fillId="3" borderId="0" xfId="0" applyNumberFormat="1" applyFill="1" applyBorder="1"/>
    <xf numFmtId="0" fontId="21" fillId="3" borderId="2" xfId="0" applyFont="1" applyFill="1" applyBorder="1" applyAlignment="1"/>
    <xf numFmtId="0" fontId="0" fillId="3" borderId="4" xfId="0" applyFill="1" applyBorder="1"/>
    <xf numFmtId="0" fontId="0" fillId="0" borderId="4" xfId="0" applyFill="1" applyBorder="1"/>
    <xf numFmtId="0" fontId="0" fillId="3" borderId="6" xfId="0" applyFill="1" applyBorder="1"/>
    <xf numFmtId="0" fontId="0" fillId="6" borderId="10" xfId="0" applyFill="1" applyBorder="1"/>
    <xf numFmtId="0" fontId="0" fillId="3" borderId="1" xfId="0" applyFill="1" applyBorder="1"/>
    <xf numFmtId="0" fontId="0" fillId="3" borderId="13" xfId="0" applyFill="1" applyBorder="1"/>
    <xf numFmtId="0" fontId="0" fillId="0" borderId="0" xfId="0" applyAlignment="1"/>
    <xf numFmtId="0" fontId="0" fillId="0" borderId="2" xfId="0" applyBorder="1"/>
    <xf numFmtId="9" fontId="0" fillId="0" borderId="1" xfId="2" applyFont="1" applyBorder="1" applyAlignment="1">
      <alignment horizontal="center"/>
    </xf>
    <xf numFmtId="1" fontId="0" fillId="0" borderId="1" xfId="0" applyNumberFormat="1" applyBorder="1" applyAlignment="1">
      <alignment horizontal="center"/>
    </xf>
    <xf numFmtId="0" fontId="28" fillId="11" borderId="17" xfId="0" applyFont="1" applyFill="1" applyBorder="1" applyAlignment="1">
      <alignment horizontal="center"/>
    </xf>
    <xf numFmtId="0" fontId="28" fillId="11" borderId="18" xfId="0" applyFont="1" applyFill="1" applyBorder="1"/>
    <xf numFmtId="0" fontId="28" fillId="11" borderId="19" xfId="0" applyFont="1" applyFill="1" applyBorder="1" applyAlignment="1">
      <alignment horizontal="center"/>
    </xf>
    <xf numFmtId="2" fontId="28" fillId="11" borderId="20" xfId="0" applyNumberFormat="1" applyFont="1" applyFill="1" applyBorder="1" applyAlignment="1">
      <alignment horizontal="center"/>
    </xf>
    <xf numFmtId="0" fontId="0" fillId="0" borderId="7" xfId="0" applyBorder="1"/>
    <xf numFmtId="0" fontId="0" fillId="0" borderId="8" xfId="0" applyBorder="1"/>
    <xf numFmtId="0" fontId="28" fillId="12" borderId="21" xfId="0" applyFont="1" applyFill="1" applyBorder="1" applyAlignment="1">
      <alignment horizontal="center"/>
    </xf>
    <xf numFmtId="2" fontId="28" fillId="12" borderId="22" xfId="0" applyNumberFormat="1" applyFont="1" applyFill="1" applyBorder="1" applyAlignment="1">
      <alignment horizontal="center"/>
    </xf>
    <xf numFmtId="0" fontId="28" fillId="12" borderId="23" xfId="0" applyFont="1" applyFill="1" applyBorder="1" applyAlignment="1">
      <alignment horizontal="center"/>
    </xf>
    <xf numFmtId="2" fontId="28" fillId="12" borderId="24" xfId="0" applyNumberFormat="1" applyFont="1" applyFill="1" applyBorder="1" applyAlignment="1">
      <alignment horizontal="center"/>
    </xf>
    <xf numFmtId="0" fontId="3" fillId="13" borderId="1" xfId="0" applyFont="1" applyFill="1" applyBorder="1" applyAlignment="1">
      <alignment horizontal="center"/>
    </xf>
    <xf numFmtId="0" fontId="15" fillId="4" borderId="16" xfId="0" applyFont="1" applyFill="1" applyBorder="1" applyAlignment="1">
      <alignment vertical="top" wrapText="1"/>
    </xf>
    <xf numFmtId="0" fontId="17" fillId="2" borderId="16" xfId="0" applyFont="1" applyFill="1" applyBorder="1"/>
    <xf numFmtId="8" fontId="16" fillId="4" borderId="16" xfId="0" applyNumberFormat="1" applyFont="1" applyFill="1" applyBorder="1" applyAlignment="1">
      <alignment vertical="top" wrapText="1"/>
    </xf>
    <xf numFmtId="6" fontId="16" fillId="4" borderId="16" xfId="0" applyNumberFormat="1" applyFont="1" applyFill="1" applyBorder="1" applyAlignment="1">
      <alignment vertical="top" wrapText="1"/>
    </xf>
    <xf numFmtId="6" fontId="15" fillId="2" borderId="16" xfId="0" applyNumberFormat="1" applyFont="1" applyFill="1" applyBorder="1" applyAlignment="1">
      <alignment vertical="top" wrapText="1"/>
    </xf>
    <xf numFmtId="0" fontId="15" fillId="0" borderId="10" xfId="0" applyFont="1" applyBorder="1" applyAlignment="1">
      <alignment vertical="top" wrapText="1"/>
    </xf>
    <xf numFmtId="6" fontId="16" fillId="5" borderId="13" xfId="0" applyNumberFormat="1" applyFont="1" applyFill="1" applyBorder="1" applyAlignment="1">
      <alignment vertical="top" wrapText="1"/>
    </xf>
    <xf numFmtId="0" fontId="15" fillId="2" borderId="11" xfId="0" applyFont="1" applyFill="1" applyBorder="1" applyAlignment="1">
      <alignment vertical="top" wrapText="1"/>
    </xf>
    <xf numFmtId="6" fontId="15" fillId="2" borderId="25" xfId="0" applyNumberFormat="1" applyFont="1" applyFill="1" applyBorder="1" applyAlignment="1">
      <alignment vertical="top" wrapText="1"/>
    </xf>
    <xf numFmtId="6" fontId="15" fillId="2" borderId="26" xfId="0" applyNumberFormat="1" applyFont="1" applyFill="1" applyBorder="1" applyAlignment="1">
      <alignment vertical="top" wrapText="1"/>
    </xf>
    <xf numFmtId="0" fontId="15" fillId="14" borderId="1" xfId="0" applyFont="1" applyFill="1" applyBorder="1" applyAlignment="1">
      <alignment vertical="top" wrapText="1"/>
    </xf>
    <xf numFmtId="0" fontId="15" fillId="14" borderId="13" xfId="0" applyFont="1" applyFill="1" applyBorder="1" applyAlignment="1">
      <alignment vertical="top" wrapText="1"/>
    </xf>
    <xf numFmtId="2" fontId="0" fillId="3" borderId="0" xfId="0" applyNumberFormat="1" applyFill="1" applyBorder="1"/>
    <xf numFmtId="0" fontId="4" fillId="0" borderId="1" xfId="0" applyFont="1" applyBorder="1"/>
    <xf numFmtId="8" fontId="4" fillId="0" borderId="1" xfId="0" applyNumberFormat="1" applyFont="1" applyBorder="1" applyAlignment="1">
      <alignment horizontal="right" vertical="top" wrapText="1"/>
    </xf>
    <xf numFmtId="0" fontId="0" fillId="2" borderId="1" xfId="0" applyFill="1" applyBorder="1" applyAlignment="1">
      <alignment horizontal="right"/>
    </xf>
    <xf numFmtId="0" fontId="0" fillId="0" borderId="1" xfId="0" applyBorder="1" applyAlignment="1">
      <alignment horizontal="right"/>
    </xf>
    <xf numFmtId="0" fontId="3" fillId="2" borderId="0" xfId="0" applyFont="1" applyFill="1"/>
    <xf numFmtId="0" fontId="5" fillId="3" borderId="4" xfId="1" applyFill="1" applyBorder="1" applyAlignment="1" applyProtection="1"/>
    <xf numFmtId="0" fontId="5" fillId="8" borderId="10" xfId="1" applyFill="1" applyBorder="1" applyAlignment="1" applyProtection="1"/>
    <xf numFmtId="0" fontId="0" fillId="9" borderId="10" xfId="0" applyFill="1" applyBorder="1"/>
    <xf numFmtId="0" fontId="3" fillId="0" borderId="4" xfId="0" applyFont="1" applyBorder="1"/>
    <xf numFmtId="0" fontId="3" fillId="13" borderId="10" xfId="0" applyFont="1" applyFill="1" applyBorder="1"/>
    <xf numFmtId="0" fontId="21" fillId="3" borderId="9" xfId="0" applyFont="1" applyFill="1" applyBorder="1" applyAlignment="1"/>
    <xf numFmtId="0" fontId="4" fillId="3" borderId="2" xfId="0" applyFont="1" applyFill="1" applyBorder="1"/>
    <xf numFmtId="0" fontId="4" fillId="3" borderId="4" xfId="0" applyFont="1" applyFill="1" applyBorder="1"/>
    <xf numFmtId="0" fontId="4" fillId="3" borderId="0" xfId="0" applyFont="1" applyFill="1" applyBorder="1"/>
    <xf numFmtId="0" fontId="30" fillId="3" borderId="4" xfId="1" applyFont="1" applyFill="1" applyBorder="1" applyAlignment="1" applyProtection="1"/>
    <xf numFmtId="0" fontId="30" fillId="8" borderId="10" xfId="1" applyFont="1" applyFill="1" applyBorder="1" applyAlignment="1" applyProtection="1"/>
    <xf numFmtId="0" fontId="4" fillId="9" borderId="10" xfId="0" applyFont="1" applyFill="1" applyBorder="1"/>
    <xf numFmtId="0" fontId="4" fillId="0" borderId="0" xfId="0" applyFont="1" applyBorder="1"/>
    <xf numFmtId="0" fontId="4" fillId="13" borderId="1" xfId="0" applyFont="1" applyFill="1" applyBorder="1" applyAlignment="1">
      <alignment horizontal="center"/>
    </xf>
    <xf numFmtId="1" fontId="4" fillId="13" borderId="1" xfId="0" applyNumberFormat="1" applyFont="1" applyFill="1" applyBorder="1" applyAlignment="1">
      <alignment horizontal="center"/>
    </xf>
    <xf numFmtId="0" fontId="4" fillId="0" borderId="4" xfId="0" applyFont="1" applyBorder="1"/>
    <xf numFmtId="0" fontId="33" fillId="14" borderId="1" xfId="0" applyFont="1" applyFill="1" applyBorder="1" applyAlignment="1">
      <alignment vertical="top" wrapText="1"/>
    </xf>
    <xf numFmtId="0" fontId="33" fillId="14" borderId="13" xfId="0" applyFont="1" applyFill="1" applyBorder="1" applyAlignment="1">
      <alignment vertical="top" wrapText="1"/>
    </xf>
    <xf numFmtId="6" fontId="32" fillId="5" borderId="1" xfId="0" applyNumberFormat="1" applyFont="1" applyFill="1" applyBorder="1" applyAlignment="1">
      <alignment vertical="top" wrapText="1"/>
    </xf>
    <xf numFmtId="6" fontId="32" fillId="5" borderId="13" xfId="0" applyNumberFormat="1" applyFont="1" applyFill="1" applyBorder="1" applyAlignment="1">
      <alignment vertical="top" wrapText="1"/>
    </xf>
    <xf numFmtId="0" fontId="33" fillId="2" borderId="11" xfId="0" applyFont="1" applyFill="1" applyBorder="1" applyAlignment="1">
      <alignment vertical="top" wrapText="1"/>
    </xf>
    <xf numFmtId="6" fontId="33" fillId="2" borderId="25" xfId="0" applyNumberFormat="1" applyFont="1" applyFill="1" applyBorder="1" applyAlignment="1">
      <alignment vertical="top" wrapText="1"/>
    </xf>
    <xf numFmtId="6" fontId="33" fillId="2" borderId="26" xfId="0" applyNumberFormat="1" applyFont="1" applyFill="1" applyBorder="1" applyAlignment="1">
      <alignment vertical="top" wrapText="1"/>
    </xf>
    <xf numFmtId="8" fontId="4" fillId="9" borderId="1" xfId="0" applyNumberFormat="1" applyFont="1" applyFill="1" applyBorder="1" applyAlignment="1">
      <alignment horizontal="right" vertical="top" wrapText="1"/>
    </xf>
    <xf numFmtId="0" fontId="28" fillId="11" borderId="27" xfId="0" applyFont="1" applyFill="1" applyBorder="1"/>
    <xf numFmtId="0" fontId="28" fillId="11" borderId="28" xfId="0" applyFont="1" applyFill="1" applyBorder="1" applyAlignment="1">
      <alignment horizontal="center"/>
    </xf>
    <xf numFmtId="2" fontId="28" fillId="11" borderId="29" xfId="0" applyNumberFormat="1" applyFont="1" applyFill="1" applyBorder="1" applyAlignment="1">
      <alignment horizontal="center"/>
    </xf>
    <xf numFmtId="0" fontId="28" fillId="11" borderId="12" xfId="0" applyFont="1" applyFill="1" applyBorder="1"/>
    <xf numFmtId="2" fontId="28" fillId="11" borderId="17" xfId="0" applyNumberFormat="1" applyFont="1" applyFill="1" applyBorder="1" applyAlignment="1">
      <alignment horizontal="center"/>
    </xf>
    <xf numFmtId="0" fontId="0" fillId="2" borderId="10" xfId="0" applyFill="1" applyBorder="1"/>
    <xf numFmtId="0" fontId="0" fillId="13" borderId="10" xfId="0" applyFill="1" applyBorder="1"/>
    <xf numFmtId="0" fontId="0" fillId="5" borderId="10" xfId="0" applyFill="1" applyBorder="1"/>
    <xf numFmtId="0" fontId="6" fillId="3" borderId="0" xfId="0" applyFont="1" applyFill="1" applyBorder="1"/>
    <xf numFmtId="0" fontId="26" fillId="10" borderId="10" xfId="0" applyFont="1" applyFill="1" applyBorder="1" applyAlignment="1">
      <alignment vertical="top" wrapText="1"/>
    </xf>
    <xf numFmtId="0" fontId="31" fillId="10" borderId="1" xfId="0" applyFont="1" applyFill="1" applyBorder="1" applyAlignment="1">
      <alignment horizontal="center" vertical="center" wrapText="1"/>
    </xf>
    <xf numFmtId="0" fontId="19" fillId="10" borderId="10" xfId="0" applyFont="1" applyFill="1" applyBorder="1" applyAlignment="1">
      <alignment horizontal="left" vertical="center"/>
    </xf>
    <xf numFmtId="2" fontId="19" fillId="10" borderId="1" xfId="0" applyNumberFormat="1" applyFont="1" applyFill="1" applyBorder="1" applyAlignment="1">
      <alignment horizontal="left" indent="1"/>
    </xf>
    <xf numFmtId="0" fontId="33" fillId="5" borderId="10" xfId="0" applyFont="1" applyFill="1" applyBorder="1" applyAlignment="1">
      <alignment vertical="top" wrapText="1"/>
    </xf>
    <xf numFmtId="0" fontId="28" fillId="15" borderId="1" xfId="0" applyFont="1" applyFill="1" applyBorder="1" applyAlignment="1">
      <alignment horizontal="center"/>
    </xf>
    <xf numFmtId="2" fontId="28" fillId="15" borderId="1" xfId="0" applyNumberFormat="1" applyFont="1" applyFill="1" applyBorder="1" applyAlignment="1">
      <alignment horizontal="center"/>
    </xf>
    <xf numFmtId="0" fontId="29" fillId="15" borderId="10" xfId="0" applyFont="1" applyFill="1" applyBorder="1"/>
    <xf numFmtId="2" fontId="29" fillId="15" borderId="1" xfId="0" applyNumberFormat="1" applyFont="1" applyFill="1" applyBorder="1"/>
    <xf numFmtId="9" fontId="29" fillId="15" borderId="10" xfId="0" applyNumberFormat="1" applyFont="1" applyFill="1" applyBorder="1" applyAlignment="1">
      <alignment horizontal="left"/>
    </xf>
    <xf numFmtId="1" fontId="4" fillId="0" borderId="1" xfId="0" applyNumberFormat="1" applyFont="1" applyBorder="1"/>
    <xf numFmtId="1" fontId="4" fillId="0" borderId="13" xfId="0" applyNumberFormat="1" applyFont="1" applyBorder="1"/>
    <xf numFmtId="0" fontId="4" fillId="3" borderId="1" xfId="0" applyFont="1" applyFill="1" applyBorder="1"/>
    <xf numFmtId="0" fontId="3" fillId="2" borderId="30" xfId="0" applyFont="1" applyFill="1" applyBorder="1" applyAlignment="1">
      <alignment horizontal="left"/>
    </xf>
    <xf numFmtId="0" fontId="4" fillId="3" borderId="0" xfId="0" applyFont="1" applyFill="1" applyBorder="1" applyAlignment="1">
      <alignment horizontal="center"/>
    </xf>
    <xf numFmtId="0" fontId="5" fillId="0" borderId="0" xfId="1" applyFont="1" applyAlignment="1" applyProtection="1"/>
    <xf numFmtId="0" fontId="7" fillId="16" borderId="31" xfId="0" applyFont="1" applyFill="1" applyBorder="1"/>
    <xf numFmtId="0" fontId="4" fillId="3" borderId="15" xfId="0" applyFont="1" applyFill="1" applyBorder="1"/>
    <xf numFmtId="0" fontId="22" fillId="3" borderId="9" xfId="0" applyFont="1" applyFill="1" applyBorder="1"/>
    <xf numFmtId="0" fontId="0" fillId="5" borderId="32" xfId="0" applyFill="1" applyBorder="1"/>
    <xf numFmtId="0" fontId="0" fillId="17" borderId="32" xfId="0" applyFill="1" applyBorder="1"/>
    <xf numFmtId="0" fontId="29" fillId="18" borderId="32" xfId="0" applyFont="1" applyFill="1" applyBorder="1" applyAlignment="1"/>
    <xf numFmtId="0" fontId="0" fillId="19" borderId="32" xfId="0" applyFill="1" applyBorder="1" applyAlignment="1"/>
    <xf numFmtId="0" fontId="0" fillId="8" borderId="32" xfId="0" applyFill="1" applyBorder="1" applyAlignment="1"/>
    <xf numFmtId="0" fontId="0" fillId="2" borderId="13" xfId="0" applyFill="1" applyBorder="1" applyAlignment="1">
      <alignment horizontal="center" wrapText="1"/>
    </xf>
    <xf numFmtId="9" fontId="0" fillId="0" borderId="13" xfId="2" applyFont="1" applyBorder="1"/>
    <xf numFmtId="0" fontId="5" fillId="0" borderId="4" xfId="1" applyBorder="1" applyAlignment="1" applyProtection="1"/>
    <xf numFmtId="0" fontId="5" fillId="0" borderId="6" xfId="1" applyBorder="1" applyAlignment="1" applyProtection="1"/>
    <xf numFmtId="0" fontId="4" fillId="0" borderId="4" xfId="0" applyFont="1" applyFill="1" applyBorder="1"/>
    <xf numFmtId="2" fontId="4" fillId="0" borderId="0" xfId="0" applyNumberFormat="1" applyFont="1" applyFill="1" applyBorder="1"/>
    <xf numFmtId="0" fontId="0" fillId="0" borderId="0" xfId="0" applyFill="1" applyBorder="1"/>
    <xf numFmtId="0" fontId="4" fillId="3" borderId="3" xfId="0" applyFont="1" applyFill="1" applyBorder="1"/>
    <xf numFmtId="0" fontId="4" fillId="3" borderId="5" xfId="0" applyFont="1" applyFill="1" applyBorder="1"/>
    <xf numFmtId="0" fontId="31" fillId="10" borderId="13" xfId="0" applyFont="1" applyFill="1" applyBorder="1" applyAlignment="1">
      <alignment horizontal="center" vertical="center" wrapText="1"/>
    </xf>
    <xf numFmtId="2" fontId="19" fillId="10" borderId="13" xfId="0" applyNumberFormat="1" applyFont="1" applyFill="1" applyBorder="1" applyAlignment="1">
      <alignment horizontal="left" indent="1"/>
    </xf>
    <xf numFmtId="0" fontId="4" fillId="3" borderId="4" xfId="0" applyFont="1" applyFill="1" applyBorder="1" applyAlignment="1">
      <alignment vertical="top"/>
    </xf>
    <xf numFmtId="0" fontId="0" fillId="3" borderId="5" xfId="0" applyFill="1" applyBorder="1" applyAlignment="1">
      <alignment vertical="top"/>
    </xf>
    <xf numFmtId="0" fontId="0" fillId="3" borderId="4" xfId="0" applyFill="1" applyBorder="1" applyAlignment="1">
      <alignment vertical="top"/>
    </xf>
    <xf numFmtId="0" fontId="0" fillId="3" borderId="5" xfId="0" applyFill="1" applyBorder="1" applyAlignment="1">
      <alignment vertical="top" wrapText="1"/>
    </xf>
    <xf numFmtId="0" fontId="4" fillId="13" borderId="10" xfId="0" applyFont="1" applyFill="1" applyBorder="1" applyAlignment="1">
      <alignment horizontal="left"/>
    </xf>
    <xf numFmtId="0" fontId="4" fillId="3" borderId="0" xfId="0" applyFont="1" applyFill="1" applyBorder="1" applyAlignment="1"/>
    <xf numFmtId="0" fontId="4" fillId="3" borderId="5" xfId="0" applyFont="1" applyFill="1" applyBorder="1" applyAlignment="1"/>
    <xf numFmtId="0" fontId="4" fillId="3" borderId="0" xfId="0" applyFont="1" applyFill="1" applyBorder="1" applyAlignment="1">
      <alignment vertical="top"/>
    </xf>
    <xf numFmtId="0" fontId="4" fillId="3" borderId="5" xfId="0" applyFont="1" applyFill="1" applyBorder="1" applyAlignment="1">
      <alignment vertical="top"/>
    </xf>
    <xf numFmtId="0" fontId="0" fillId="3" borderId="0" xfId="0" applyFill="1" applyBorder="1" applyAlignment="1">
      <alignment vertical="top"/>
    </xf>
    <xf numFmtId="0" fontId="3" fillId="0" borderId="1" xfId="0" applyFont="1" applyFill="1" applyBorder="1"/>
    <xf numFmtId="0" fontId="0" fillId="0" borderId="1" xfId="0" applyFill="1" applyBorder="1"/>
    <xf numFmtId="0" fontId="0" fillId="0" borderId="6" xfId="0" applyFill="1" applyBorder="1"/>
    <xf numFmtId="0" fontId="0" fillId="0" borderId="7" xfId="0" applyFill="1" applyBorder="1"/>
    <xf numFmtId="0" fontId="0" fillId="0" borderId="3" xfId="0" applyBorder="1"/>
    <xf numFmtId="0" fontId="28" fillId="3" borderId="4" xfId="0" applyFont="1" applyFill="1" applyBorder="1" applyAlignment="1">
      <alignment wrapText="1"/>
    </xf>
    <xf numFmtId="0" fontId="28" fillId="3" borderId="0" xfId="0" applyFont="1" applyFill="1" applyBorder="1" applyAlignment="1">
      <alignment horizontal="center"/>
    </xf>
    <xf numFmtId="2" fontId="28" fillId="3" borderId="0" xfId="0" applyNumberFormat="1" applyFont="1" applyFill="1" applyBorder="1" applyAlignment="1">
      <alignment horizontal="center"/>
    </xf>
    <xf numFmtId="1" fontId="3" fillId="3" borderId="0" xfId="0" applyNumberFormat="1" applyFont="1" applyFill="1" applyBorder="1" applyAlignment="1">
      <alignment horizontal="left" vertical="top" wrapText="1"/>
    </xf>
    <xf numFmtId="0" fontId="3" fillId="0" borderId="1" xfId="0" applyFont="1" applyBorder="1"/>
    <xf numFmtId="0" fontId="0" fillId="13" borderId="1" xfId="0" applyFill="1" applyBorder="1"/>
    <xf numFmtId="0" fontId="0" fillId="10" borderId="1" xfId="0" applyFill="1" applyBorder="1"/>
    <xf numFmtId="1" fontId="4" fillId="9" borderId="1" xfId="0" applyNumberFormat="1" applyFont="1" applyFill="1" applyBorder="1" applyAlignment="1">
      <alignment horizontal="right" vertical="top" wrapText="1"/>
    </xf>
    <xf numFmtId="1" fontId="4" fillId="13" borderId="1" xfId="0" applyNumberFormat="1" applyFont="1" applyFill="1" applyBorder="1" applyAlignment="1">
      <alignment horizontal="right" vertical="top" wrapText="1"/>
    </xf>
    <xf numFmtId="1" fontId="19" fillId="10" borderId="1" xfId="0" applyNumberFormat="1" applyFont="1" applyFill="1" applyBorder="1" applyAlignment="1">
      <alignment horizontal="right" vertical="top" wrapText="1"/>
    </xf>
    <xf numFmtId="1" fontId="3" fillId="2" borderId="17" xfId="0" applyNumberFormat="1" applyFont="1" applyFill="1" applyBorder="1"/>
    <xf numFmtId="1" fontId="4" fillId="9" borderId="13" xfId="0" applyNumberFormat="1" applyFont="1" applyFill="1" applyBorder="1" applyAlignment="1">
      <alignment horizontal="right" vertical="top" wrapText="1"/>
    </xf>
    <xf numFmtId="1" fontId="4" fillId="13" borderId="13" xfId="0" applyNumberFormat="1" applyFont="1" applyFill="1" applyBorder="1" applyAlignment="1">
      <alignment horizontal="right" vertical="top" wrapText="1"/>
    </xf>
    <xf numFmtId="0" fontId="9" fillId="10" borderId="10" xfId="0" applyFont="1" applyFill="1" applyBorder="1" applyAlignment="1">
      <alignment vertical="top" wrapText="1"/>
    </xf>
    <xf numFmtId="1" fontId="19" fillId="10" borderId="13" xfId="0" applyNumberFormat="1" applyFont="1" applyFill="1" applyBorder="1" applyAlignment="1">
      <alignment horizontal="right" vertical="top" wrapText="1"/>
    </xf>
    <xf numFmtId="1" fontId="4" fillId="0" borderId="25" xfId="0" applyNumberFormat="1" applyFont="1" applyBorder="1"/>
    <xf numFmtId="1" fontId="4" fillId="0" borderId="26" xfId="0" applyNumberFormat="1" applyFont="1" applyBorder="1"/>
    <xf numFmtId="0" fontId="0" fillId="0" borderId="4" xfId="0" applyFill="1" applyBorder="1" applyAlignment="1"/>
    <xf numFmtId="1" fontId="3" fillId="3" borderId="0" xfId="0" applyNumberFormat="1" applyFont="1" applyFill="1" applyBorder="1" applyAlignment="1">
      <alignment horizontal="left" vertical="top"/>
    </xf>
    <xf numFmtId="1" fontId="3" fillId="2" borderId="33" xfId="0" applyNumberFormat="1" applyFont="1" applyFill="1" applyBorder="1"/>
    <xf numFmtId="1" fontId="4" fillId="9" borderId="15" xfId="0" applyNumberFormat="1" applyFont="1" applyFill="1" applyBorder="1" applyAlignment="1">
      <alignment horizontal="right" vertical="top" wrapText="1"/>
    </xf>
    <xf numFmtId="0" fontId="21" fillId="6" borderId="12" xfId="0" applyFont="1" applyFill="1" applyBorder="1" applyAlignment="1"/>
    <xf numFmtId="0" fontId="21" fillId="6" borderId="17" xfId="0" applyFont="1" applyFill="1" applyBorder="1" applyAlignment="1"/>
    <xf numFmtId="164" fontId="0" fillId="0" borderId="13" xfId="0" applyNumberFormat="1" applyBorder="1"/>
    <xf numFmtId="164" fontId="0" fillId="0" borderId="25" xfId="0" applyNumberFormat="1" applyBorder="1"/>
    <xf numFmtId="164" fontId="0" fillId="0" borderId="26" xfId="0" applyNumberFormat="1" applyBorder="1"/>
    <xf numFmtId="9" fontId="0" fillId="15" borderId="13" xfId="2" applyFont="1" applyFill="1" applyBorder="1"/>
    <xf numFmtId="0" fontId="34" fillId="0" borderId="34" xfId="0" applyFont="1" applyBorder="1" applyAlignment="1">
      <alignment vertical="top" wrapText="1"/>
    </xf>
    <xf numFmtId="0" fontId="0" fillId="20" borderId="1" xfId="0" applyFill="1" applyBorder="1"/>
    <xf numFmtId="2" fontId="0" fillId="20" borderId="1" xfId="0" applyNumberFormat="1" applyFill="1" applyBorder="1"/>
    <xf numFmtId="0" fontId="3" fillId="20" borderId="1" xfId="0" applyFont="1" applyFill="1" applyBorder="1" applyAlignment="1">
      <alignment horizontal="center"/>
    </xf>
    <xf numFmtId="2" fontId="0" fillId="20" borderId="1" xfId="0" applyNumberFormat="1" applyFill="1" applyBorder="1" applyAlignment="1">
      <alignment horizontal="center"/>
    </xf>
    <xf numFmtId="0" fontId="3" fillId="6" borderId="1" xfId="0" applyFont="1" applyFill="1" applyBorder="1" applyAlignment="1">
      <alignment horizontal="center"/>
    </xf>
    <xf numFmtId="10" fontId="0" fillId="20" borderId="1" xfId="2" applyNumberFormat="1" applyFont="1" applyFill="1" applyBorder="1" applyAlignment="1">
      <alignment horizontal="center"/>
    </xf>
    <xf numFmtId="0" fontId="0" fillId="0" borderId="0" xfId="0" applyAlignment="1">
      <alignment horizontal="right"/>
    </xf>
    <xf numFmtId="8" fontId="0" fillId="20" borderId="1" xfId="0" applyNumberFormat="1" applyFill="1" applyBorder="1"/>
    <xf numFmtId="2" fontId="0" fillId="6" borderId="1" xfId="0" applyNumberFormat="1" applyFill="1" applyBorder="1" applyAlignment="1">
      <alignment horizontal="center"/>
    </xf>
    <xf numFmtId="0" fontId="3" fillId="0" borderId="1" xfId="0" applyFont="1" applyBorder="1" applyAlignment="1">
      <alignment wrapText="1"/>
    </xf>
    <xf numFmtId="0" fontId="0" fillId="0" borderId="0" xfId="0" applyAlignment="1">
      <alignment horizontal="right" indent="2"/>
    </xf>
    <xf numFmtId="0" fontId="3" fillId="9" borderId="35" xfId="0" applyFont="1" applyFill="1" applyBorder="1"/>
    <xf numFmtId="0" fontId="4" fillId="4" borderId="10" xfId="0" applyFont="1" applyFill="1" applyBorder="1"/>
    <xf numFmtId="0" fontId="4" fillId="4" borderId="11" xfId="0" applyFont="1" applyFill="1" applyBorder="1"/>
    <xf numFmtId="49" fontId="0" fillId="2" borderId="1" xfId="0" applyNumberFormat="1" applyFill="1" applyBorder="1" applyAlignment="1">
      <alignment horizontal="center" wrapText="1"/>
    </xf>
    <xf numFmtId="49" fontId="3" fillId="4" borderId="1" xfId="0" applyNumberFormat="1" applyFont="1" applyFill="1" applyBorder="1"/>
    <xf numFmtId="8" fontId="0" fillId="9" borderId="1" xfId="0" applyNumberFormat="1" applyFill="1" applyBorder="1"/>
    <xf numFmtId="9" fontId="0" fillId="3" borderId="15" xfId="0" applyNumberFormat="1" applyFill="1" applyBorder="1" applyAlignment="1">
      <alignment horizontal="center" wrapText="1"/>
    </xf>
    <xf numFmtId="2" fontId="29" fillId="3" borderId="15" xfId="0" applyNumberFormat="1" applyFont="1" applyFill="1" applyBorder="1"/>
    <xf numFmtId="8" fontId="0" fillId="3" borderId="15" xfId="0" applyNumberFormat="1" applyFill="1" applyBorder="1"/>
    <xf numFmtId="49" fontId="3" fillId="9" borderId="1" xfId="0" applyNumberFormat="1" applyFont="1" applyFill="1" applyBorder="1"/>
    <xf numFmtId="0" fontId="4" fillId="8" borderId="31" xfId="0" applyFont="1" applyFill="1" applyBorder="1"/>
    <xf numFmtId="2" fontId="7" fillId="0" borderId="1" xfId="0" applyNumberFormat="1" applyFont="1" applyBorder="1" applyAlignment="1">
      <alignment wrapText="1"/>
    </xf>
    <xf numFmtId="2" fontId="7" fillId="0" borderId="1" xfId="0" applyNumberFormat="1" applyFont="1" applyBorder="1"/>
    <xf numFmtId="0" fontId="3" fillId="0" borderId="0" xfId="0" applyFont="1" applyAlignment="1">
      <alignment wrapText="1"/>
    </xf>
    <xf numFmtId="2" fontId="0" fillId="0" borderId="0" xfId="0" applyNumberFormat="1"/>
    <xf numFmtId="0" fontId="25" fillId="0" borderId="1" xfId="0" applyFont="1" applyFill="1" applyBorder="1" applyAlignment="1">
      <alignment horizontal="left" wrapText="1"/>
    </xf>
    <xf numFmtId="2" fontId="39" fillId="0" borderId="1" xfId="0" applyNumberFormat="1" applyFont="1" applyFill="1" applyBorder="1" applyAlignment="1">
      <alignment wrapText="1"/>
    </xf>
    <xf numFmtId="2" fontId="25" fillId="0" borderId="1" xfId="0" applyNumberFormat="1" applyFont="1" applyFill="1" applyBorder="1"/>
    <xf numFmtId="8" fontId="1" fillId="0" borderId="1" xfId="0" applyNumberFormat="1" applyFont="1" applyBorder="1"/>
    <xf numFmtId="0" fontId="0" fillId="0" borderId="10" xfId="0" applyFill="1" applyBorder="1"/>
    <xf numFmtId="0" fontId="4" fillId="3" borderId="6" xfId="0" applyFont="1" applyFill="1" applyBorder="1"/>
    <xf numFmtId="0" fontId="4" fillId="3" borderId="7" xfId="0" applyFont="1" applyFill="1" applyBorder="1"/>
    <xf numFmtId="0" fontId="4" fillId="3" borderId="8" xfId="0" applyFont="1" applyFill="1" applyBorder="1"/>
    <xf numFmtId="0" fontId="3" fillId="5" borderId="10" xfId="0" applyFont="1" applyFill="1" applyBorder="1"/>
    <xf numFmtId="0" fontId="3" fillId="6" borderId="36" xfId="0" applyFont="1" applyFill="1" applyBorder="1"/>
    <xf numFmtId="0" fontId="21" fillId="5" borderId="35" xfId="0" applyFont="1" applyFill="1" applyBorder="1" applyAlignment="1"/>
    <xf numFmtId="0" fontId="0" fillId="3" borderId="0" xfId="0" applyFill="1" applyAlignment="1">
      <alignment horizontal="right"/>
    </xf>
    <xf numFmtId="0" fontId="0" fillId="3" borderId="0" xfId="0" applyFill="1" applyAlignment="1">
      <alignment horizontal="right" indent="2"/>
    </xf>
    <xf numFmtId="0" fontId="3" fillId="4" borderId="1" xfId="0" applyFont="1" applyFill="1" applyBorder="1" applyAlignment="1"/>
    <xf numFmtId="0" fontId="3" fillId="2" borderId="13" xfId="0" applyFont="1" applyFill="1" applyBorder="1" applyAlignment="1">
      <alignment horizontal="right"/>
    </xf>
    <xf numFmtId="0" fontId="21" fillId="0" borderId="9" xfId="0" applyFont="1" applyBorder="1"/>
    <xf numFmtId="0" fontId="21" fillId="3" borderId="4" xfId="0" applyFont="1" applyFill="1" applyBorder="1"/>
    <xf numFmtId="0" fontId="0" fillId="2" borderId="13" xfId="0" applyFill="1" applyBorder="1"/>
    <xf numFmtId="0" fontId="3" fillId="20" borderId="10" xfId="0" applyFont="1" applyFill="1" applyBorder="1" applyAlignment="1">
      <alignment horizontal="center"/>
    </xf>
    <xf numFmtId="0" fontId="0" fillId="20" borderId="13" xfId="0" applyFill="1" applyBorder="1"/>
    <xf numFmtId="2" fontId="0" fillId="20" borderId="13" xfId="0" applyNumberFormat="1" applyFill="1" applyBorder="1"/>
    <xf numFmtId="0" fontId="0" fillId="20" borderId="10" xfId="0" applyFill="1" applyBorder="1" applyAlignment="1">
      <alignment horizontal="center"/>
    </xf>
    <xf numFmtId="0" fontId="3" fillId="20" borderId="0" xfId="0" applyFont="1" applyFill="1" applyBorder="1" applyAlignment="1">
      <alignment horizontal="center"/>
    </xf>
    <xf numFmtId="2" fontId="0" fillId="6" borderId="13" xfId="0" applyNumberFormat="1" applyFill="1" applyBorder="1"/>
    <xf numFmtId="0" fontId="4" fillId="3" borderId="0" xfId="0" applyFont="1" applyFill="1" applyBorder="1" applyAlignment="1">
      <alignment wrapText="1"/>
    </xf>
    <xf numFmtId="8" fontId="0" fillId="3" borderId="0" xfId="0" applyNumberFormat="1" applyFill="1" applyBorder="1" applyAlignment="1">
      <alignment horizontal="right" indent="2"/>
    </xf>
    <xf numFmtId="0" fontId="0" fillId="0" borderId="37" xfId="0" quotePrefix="1" applyBorder="1" applyAlignment="1"/>
    <xf numFmtId="0" fontId="0" fillId="0" borderId="2" xfId="0" quotePrefix="1" applyBorder="1" applyAlignment="1"/>
    <xf numFmtId="0" fontId="28" fillId="21" borderId="10" xfId="0" applyFont="1" applyFill="1" applyBorder="1"/>
    <xf numFmtId="0" fontId="0" fillId="3" borderId="4" xfId="0" applyFill="1" applyBorder="1" applyAlignment="1"/>
    <xf numFmtId="0" fontId="3" fillId="4" borderId="13" xfId="0" applyFont="1" applyFill="1" applyBorder="1" applyAlignment="1"/>
    <xf numFmtId="0" fontId="3" fillId="4" borderId="10" xfId="0" applyFont="1" applyFill="1" applyBorder="1" applyAlignment="1"/>
    <xf numFmtId="0" fontId="4" fillId="4" borderId="1" xfId="0" applyFont="1" applyFill="1" applyBorder="1"/>
    <xf numFmtId="166" fontId="36" fillId="22" borderId="1" xfId="0" applyNumberFormat="1" applyFont="1" applyFill="1" applyBorder="1" applyAlignment="1">
      <alignment horizontal="right" vertical="top"/>
    </xf>
    <xf numFmtId="9" fontId="0" fillId="0" borderId="0" xfId="2" applyFont="1"/>
    <xf numFmtId="166" fontId="36" fillId="0" borderId="0" xfId="0" applyNumberFormat="1" applyFont="1" applyBorder="1" applyAlignment="1">
      <alignment horizontal="right" vertical="top"/>
    </xf>
    <xf numFmtId="0" fontId="0" fillId="0" borderId="0" xfId="0" applyBorder="1" applyAlignment="1">
      <alignment horizontal="right" indent="2"/>
    </xf>
    <xf numFmtId="8" fontId="0" fillId="0" borderId="0" xfId="0" applyNumberFormat="1" applyAlignment="1">
      <alignment horizontal="right" indent="2"/>
    </xf>
    <xf numFmtId="8" fontId="0" fillId="0" borderId="0" xfId="0" applyNumberFormat="1" applyBorder="1"/>
    <xf numFmtId="8" fontId="0" fillId="0" borderId="0" xfId="0" applyNumberFormat="1"/>
    <xf numFmtId="3" fontId="0" fillId="0" borderId="0" xfId="0" applyNumberFormat="1" applyAlignment="1">
      <alignment horizontal="right" indent="2"/>
    </xf>
    <xf numFmtId="167" fontId="36" fillId="22" borderId="1" xfId="0" applyNumberFormat="1" applyFont="1" applyFill="1" applyBorder="1" applyAlignment="1">
      <alignment horizontal="center" vertical="top"/>
    </xf>
    <xf numFmtId="2" fontId="0" fillId="14" borderId="1" xfId="0" applyNumberFormat="1" applyFill="1" applyBorder="1"/>
    <xf numFmtId="2" fontId="7" fillId="14" borderId="1" xfId="0" applyNumberFormat="1" applyFont="1" applyFill="1" applyBorder="1" applyAlignment="1">
      <alignment wrapText="1"/>
    </xf>
    <xf numFmtId="0" fontId="40" fillId="0" borderId="1" xfId="0" applyFont="1" applyBorder="1" applyAlignment="1">
      <alignment horizontal="center" vertical="center" wrapText="1"/>
    </xf>
    <xf numFmtId="8" fontId="0" fillId="0" borderId="1" xfId="0" applyNumberFormat="1" applyBorder="1" applyAlignment="1">
      <alignment wrapText="1"/>
    </xf>
    <xf numFmtId="2" fontId="7" fillId="0" borderId="0" xfId="0" applyNumberFormat="1" applyFont="1" applyBorder="1"/>
    <xf numFmtId="0" fontId="21" fillId="0" borderId="38" xfId="0" applyFont="1" applyBorder="1" applyAlignment="1">
      <alignment horizontal="center"/>
    </xf>
    <xf numFmtId="49" fontId="21" fillId="0" borderId="41" xfId="0" applyNumberFormat="1" applyFont="1" applyBorder="1" applyAlignment="1">
      <alignment horizontal="center"/>
    </xf>
    <xf numFmtId="0" fontId="0" fillId="3" borderId="0" xfId="0" applyFill="1" applyBorder="1" applyAlignment="1">
      <alignment horizontal="left" wrapText="1"/>
    </xf>
    <xf numFmtId="0" fontId="0" fillId="3" borderId="5" xfId="0" applyFill="1" applyBorder="1" applyAlignment="1">
      <alignment horizontal="left" wrapText="1"/>
    </xf>
    <xf numFmtId="0" fontId="33" fillId="2" borderId="10" xfId="0" applyFont="1" applyFill="1" applyBorder="1" applyAlignment="1">
      <alignment vertical="top" wrapText="1"/>
    </xf>
    <xf numFmtId="0" fontId="33" fillId="2" borderId="1" xfId="0" applyFont="1" applyFill="1" applyBorder="1" applyAlignment="1">
      <alignment vertical="top" wrapText="1"/>
    </xf>
    <xf numFmtId="0" fontId="33" fillId="2" borderId="13" xfId="0" applyFont="1" applyFill="1" applyBorder="1" applyAlignment="1">
      <alignment vertical="top" wrapText="1"/>
    </xf>
    <xf numFmtId="0" fontId="18" fillId="4" borderId="42" xfId="0" applyFont="1" applyFill="1" applyBorder="1" applyAlignment="1"/>
    <xf numFmtId="0" fontId="18" fillId="4" borderId="39" xfId="0" applyFont="1" applyFill="1" applyBorder="1" applyAlignment="1"/>
    <xf numFmtId="0" fontId="18" fillId="4" borderId="40" xfId="0" applyFont="1" applyFill="1" applyBorder="1" applyAlignment="1"/>
    <xf numFmtId="0" fontId="20" fillId="14" borderId="12" xfId="0" applyFont="1" applyFill="1" applyBorder="1" applyAlignment="1">
      <alignment wrapText="1"/>
    </xf>
    <xf numFmtId="0" fontId="20" fillId="14" borderId="10" xfId="0" applyFont="1" applyFill="1" applyBorder="1" applyAlignment="1">
      <alignment wrapText="1"/>
    </xf>
    <xf numFmtId="0" fontId="3" fillId="9" borderId="14" xfId="0" applyFont="1" applyFill="1" applyBorder="1"/>
    <xf numFmtId="0" fontId="3" fillId="9" borderId="41" xfId="0" applyFont="1" applyFill="1" applyBorder="1"/>
    <xf numFmtId="0" fontId="3" fillId="9" borderId="38" xfId="0" applyFont="1" applyFill="1" applyBorder="1"/>
    <xf numFmtId="0" fontId="8" fillId="3" borderId="4" xfId="0" applyFont="1" applyFill="1" applyBorder="1" applyAlignment="1">
      <alignment wrapText="1"/>
    </xf>
    <xf numFmtId="0" fontId="8" fillId="3" borderId="0" xfId="0" applyFont="1" applyFill="1" applyBorder="1" applyAlignment="1">
      <alignment wrapText="1"/>
    </xf>
    <xf numFmtId="0" fontId="8" fillId="3" borderId="5" xfId="0" applyFont="1" applyFill="1" applyBorder="1" applyAlignment="1">
      <alignment wrapText="1"/>
    </xf>
    <xf numFmtId="0" fontId="4" fillId="3" borderId="43" xfId="0" applyFont="1" applyFill="1" applyBorder="1"/>
    <xf numFmtId="0" fontId="4" fillId="3" borderId="31" xfId="0" applyFont="1" applyFill="1" applyBorder="1"/>
    <xf numFmtId="0" fontId="32" fillId="14" borderId="33" xfId="0" applyFont="1" applyFill="1" applyBorder="1" applyAlignment="1">
      <alignment vertical="top" wrapText="1"/>
    </xf>
    <xf numFmtId="0" fontId="32" fillId="14" borderId="44" xfId="0" applyFont="1" applyFill="1" applyBorder="1" applyAlignment="1">
      <alignment vertical="top" wrapText="1"/>
    </xf>
    <xf numFmtId="0" fontId="4" fillId="0" borderId="0" xfId="0" applyFont="1" applyFill="1" applyBorder="1"/>
    <xf numFmtId="49" fontId="3" fillId="9" borderId="14" xfId="0" applyNumberFormat="1" applyFont="1" applyFill="1" applyBorder="1"/>
    <xf numFmtId="49" fontId="3" fillId="9" borderId="38" xfId="0" applyNumberFormat="1" applyFont="1" applyFill="1" applyBorder="1"/>
    <xf numFmtId="0" fontId="0" fillId="0" borderId="10" xfId="0" applyBorder="1"/>
    <xf numFmtId="0" fontId="0" fillId="0" borderId="1" xfId="0" applyBorder="1"/>
    <xf numFmtId="0" fontId="0" fillId="17" borderId="10" xfId="0" applyFill="1" applyBorder="1"/>
    <xf numFmtId="0" fontId="0" fillId="17" borderId="1" xfId="0" applyFill="1" applyBorder="1"/>
    <xf numFmtId="0" fontId="3" fillId="0" borderId="45" xfId="0" applyFont="1" applyBorder="1"/>
    <xf numFmtId="0" fontId="3" fillId="0" borderId="46" xfId="0" applyFont="1" applyBorder="1"/>
    <xf numFmtId="0" fontId="3" fillId="0" borderId="16" xfId="0" applyFont="1" applyBorder="1"/>
    <xf numFmtId="9" fontId="24" fillId="8" borderId="14" xfId="0" applyNumberFormat="1" applyFont="1" applyFill="1" applyBorder="1" applyAlignment="1">
      <alignment horizontal="center"/>
    </xf>
    <xf numFmtId="9" fontId="24" fillId="8" borderId="41" xfId="0" applyNumberFormat="1" applyFont="1" applyFill="1" applyBorder="1" applyAlignment="1">
      <alignment horizontal="center"/>
    </xf>
    <xf numFmtId="9" fontId="24" fillId="8" borderId="38" xfId="0" applyNumberFormat="1" applyFont="1" applyFill="1" applyBorder="1" applyAlignment="1">
      <alignment horizontal="center"/>
    </xf>
    <xf numFmtId="0" fontId="3" fillId="2" borderId="14" xfId="0" applyFont="1" applyFill="1" applyBorder="1" applyAlignment="1">
      <alignment vertical="top" wrapText="1"/>
    </xf>
    <xf numFmtId="0" fontId="0" fillId="2" borderId="41" xfId="0" applyFill="1" applyBorder="1" applyAlignment="1">
      <alignment vertical="top" wrapText="1"/>
    </xf>
    <xf numFmtId="0" fontId="0" fillId="2" borderId="38" xfId="0" applyFill="1" applyBorder="1" applyAlignment="1">
      <alignment vertical="top" wrapText="1"/>
    </xf>
    <xf numFmtId="0" fontId="26" fillId="2" borderId="52" xfId="0" applyFont="1" applyFill="1" applyBorder="1" applyAlignment="1">
      <alignment wrapText="1" shrinkToFit="1"/>
    </xf>
    <xf numFmtId="0" fontId="26" fillId="2" borderId="47" xfId="0" applyFont="1" applyFill="1" applyBorder="1" applyAlignment="1">
      <alignment wrapText="1" shrinkToFit="1"/>
    </xf>
    <xf numFmtId="0" fontId="3" fillId="2" borderId="1" xfId="0" applyFont="1" applyFill="1" applyBorder="1"/>
    <xf numFmtId="0" fontId="3" fillId="2" borderId="33" xfId="0" applyFont="1" applyFill="1" applyBorder="1" applyAlignment="1">
      <alignment horizontal="left" wrapText="1"/>
    </xf>
    <xf numFmtId="0" fontId="3" fillId="2" borderId="50" xfId="0" applyFont="1" applyFill="1" applyBorder="1" applyAlignment="1">
      <alignment horizontal="left" wrapText="1"/>
    </xf>
    <xf numFmtId="0" fontId="3" fillId="2" borderId="51" xfId="0" applyFont="1" applyFill="1" applyBorder="1" applyAlignment="1">
      <alignment horizontal="left" wrapText="1"/>
    </xf>
    <xf numFmtId="0" fontId="3" fillId="2" borderId="47" xfId="0" applyFont="1" applyFill="1" applyBorder="1"/>
    <xf numFmtId="0" fontId="0" fillId="0" borderId="34" xfId="0" applyBorder="1"/>
    <xf numFmtId="0" fontId="0" fillId="0" borderId="48" xfId="0" applyBorder="1"/>
    <xf numFmtId="0" fontId="28" fillId="11" borderId="36" xfId="0" applyFont="1" applyFill="1" applyBorder="1" applyAlignment="1">
      <alignment wrapText="1"/>
    </xf>
    <xf numFmtId="0" fontId="28" fillId="11" borderId="49" xfId="0" applyFont="1" applyFill="1" applyBorder="1" applyAlignment="1">
      <alignment wrapText="1"/>
    </xf>
    <xf numFmtId="0" fontId="3" fillId="2" borderId="9" xfId="0" applyFont="1" applyFill="1" applyBorder="1" applyAlignment="1">
      <alignment wrapText="1"/>
    </xf>
    <xf numFmtId="0" fontId="3" fillId="2" borderId="2" xfId="0" applyFont="1" applyFill="1" applyBorder="1" applyAlignment="1">
      <alignment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0" xfId="0" applyFont="1" applyFill="1" applyBorder="1" applyAlignment="1">
      <alignment wrapText="1"/>
    </xf>
    <xf numFmtId="0" fontId="3" fillId="2" borderId="5" xfId="0" applyFont="1" applyFill="1" applyBorder="1" applyAlignment="1">
      <alignment wrapText="1"/>
    </xf>
    <xf numFmtId="0" fontId="0" fillId="2" borderId="4" xfId="0" applyFill="1" applyBorder="1" applyAlignment="1">
      <alignment vertical="top" wrapText="1"/>
    </xf>
    <xf numFmtId="0" fontId="0" fillId="2" borderId="0" xfId="0" applyFill="1" applyBorder="1" applyAlignment="1">
      <alignment vertical="top" wrapText="1"/>
    </xf>
    <xf numFmtId="0" fontId="0" fillId="2" borderId="5"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vertical="top" wrapText="1"/>
    </xf>
    <xf numFmtId="0" fontId="3" fillId="2" borderId="34" xfId="0" applyFont="1" applyFill="1" applyBorder="1"/>
    <xf numFmtId="0" fontId="3" fillId="2" borderId="48" xfId="0" applyFont="1" applyFill="1" applyBorder="1"/>
    <xf numFmtId="0" fontId="0" fillId="9" borderId="15" xfId="0" applyFill="1" applyBorder="1"/>
    <xf numFmtId="0" fontId="0" fillId="9" borderId="16" xfId="0" applyFill="1" applyBorder="1"/>
    <xf numFmtId="0" fontId="0" fillId="8" borderId="1" xfId="0" applyFill="1" applyBorder="1" applyAlignment="1"/>
    <xf numFmtId="0" fontId="28" fillId="11" borderId="10" xfId="0" applyFont="1" applyFill="1" applyBorder="1" applyAlignment="1">
      <alignment wrapText="1"/>
    </xf>
    <xf numFmtId="0" fontId="3" fillId="2" borderId="9" xfId="0" applyNumberFormat="1" applyFont="1" applyFill="1" applyBorder="1" applyAlignment="1">
      <alignment vertical="top" wrapText="1"/>
    </xf>
    <xf numFmtId="0" fontId="0" fillId="2" borderId="2" xfId="0" applyNumberFormat="1" applyFill="1" applyBorder="1" applyAlignment="1">
      <alignment vertical="top" wrapText="1"/>
    </xf>
    <xf numFmtId="0" fontId="0" fillId="2" borderId="3" xfId="0" applyNumberFormat="1" applyFill="1" applyBorder="1" applyAlignment="1">
      <alignment vertical="top" wrapText="1"/>
    </xf>
    <xf numFmtId="0" fontId="0" fillId="2" borderId="4" xfId="0" applyNumberFormat="1" applyFill="1" applyBorder="1" applyAlignment="1">
      <alignment vertical="top" wrapText="1"/>
    </xf>
    <xf numFmtId="0" fontId="0" fillId="2" borderId="0" xfId="0" applyNumberFormat="1" applyFill="1" applyBorder="1" applyAlignment="1">
      <alignment vertical="top" wrapText="1"/>
    </xf>
    <xf numFmtId="0" fontId="0" fillId="2" borderId="5" xfId="0" applyNumberFormat="1" applyFill="1" applyBorder="1" applyAlignment="1">
      <alignment vertical="top" wrapText="1"/>
    </xf>
    <xf numFmtId="0" fontId="0" fillId="2" borderId="6" xfId="0" applyNumberFormat="1" applyFill="1" applyBorder="1" applyAlignment="1">
      <alignment vertical="top" wrapText="1"/>
    </xf>
    <xf numFmtId="0" fontId="0" fillId="2" borderId="7" xfId="0" applyNumberFormat="1" applyFill="1" applyBorder="1" applyAlignment="1">
      <alignment vertical="top" wrapText="1"/>
    </xf>
    <xf numFmtId="0" fontId="0" fillId="2" borderId="8" xfId="0" applyNumberFormat="1" applyFill="1" applyBorder="1" applyAlignment="1">
      <alignment vertical="top" wrapText="1"/>
    </xf>
    <xf numFmtId="0" fontId="29" fillId="18" borderId="1" xfId="0" applyFont="1" applyFill="1" applyBorder="1" applyAlignment="1"/>
    <xf numFmtId="0" fontId="0" fillId="19" borderId="1" xfId="0" applyFill="1" applyBorder="1" applyAlignment="1"/>
    <xf numFmtId="0" fontId="21" fillId="6" borderId="17" xfId="0" applyFont="1" applyFill="1" applyBorder="1" applyAlignment="1"/>
    <xf numFmtId="0" fontId="21" fillId="6" borderId="53" xfId="0" applyFont="1" applyFill="1" applyBorder="1" applyAlignment="1"/>
    <xf numFmtId="0" fontId="0" fillId="2" borderId="4" xfId="0" applyFill="1" applyBorder="1" applyAlignment="1">
      <alignment wrapText="1"/>
    </xf>
    <xf numFmtId="0" fontId="0" fillId="2" borderId="0" xfId="0" applyFill="1" applyBorder="1" applyAlignment="1">
      <alignment wrapText="1"/>
    </xf>
    <xf numFmtId="0" fontId="16" fillId="5" borderId="15" xfId="0" applyFont="1" applyFill="1" applyBorder="1" applyAlignment="1">
      <alignment vertical="top" wrapText="1"/>
    </xf>
    <xf numFmtId="0" fontId="16" fillId="5" borderId="16" xfId="0" applyFont="1" applyFill="1" applyBorder="1" applyAlignment="1">
      <alignment vertical="top" wrapText="1"/>
    </xf>
    <xf numFmtId="0" fontId="34" fillId="0" borderId="46" xfId="0" applyFont="1" applyBorder="1" applyAlignment="1">
      <alignment vertical="top" wrapText="1"/>
    </xf>
    <xf numFmtId="0" fontId="15" fillId="2" borderId="1" xfId="0" applyFont="1" applyFill="1" applyBorder="1" applyAlignment="1">
      <alignment vertical="top" wrapText="1"/>
    </xf>
    <xf numFmtId="0" fontId="15" fillId="2" borderId="10" xfId="0" applyFont="1" applyFill="1" applyBorder="1" applyAlignment="1">
      <alignment vertical="top" wrapText="1"/>
    </xf>
    <xf numFmtId="0" fontId="15" fillId="2" borderId="13" xfId="0" applyFont="1" applyFill="1" applyBorder="1" applyAlignment="1">
      <alignment vertical="top" wrapText="1"/>
    </xf>
    <xf numFmtId="0" fontId="20" fillId="0" borderId="1" xfId="0" applyFont="1" applyBorder="1" applyAlignment="1">
      <alignment wrapText="1"/>
    </xf>
    <xf numFmtId="0" fontId="16" fillId="14" borderId="33" xfId="0" applyFont="1" applyFill="1" applyBorder="1" applyAlignment="1">
      <alignment vertical="top" wrapText="1"/>
    </xf>
    <xf numFmtId="0" fontId="16" fillId="14" borderId="44" xfId="0" applyFont="1" applyFill="1" applyBorder="1" applyAlignment="1">
      <alignment vertical="top" wrapText="1"/>
    </xf>
    <xf numFmtId="0" fontId="19" fillId="0" borderId="1" xfId="0" applyFont="1" applyBorder="1" applyAlignment="1">
      <alignment horizontal="center" vertical="center"/>
    </xf>
    <xf numFmtId="2" fontId="19" fillId="0" borderId="1" xfId="0" applyNumberFormat="1" applyFont="1" applyBorder="1" applyAlignment="1">
      <alignment horizontal="center" vertical="center" wrapText="1"/>
    </xf>
    <xf numFmtId="2" fontId="19" fillId="4" borderId="1" xfId="0" applyNumberFormat="1" applyFont="1" applyFill="1" applyBorder="1" applyAlignment="1">
      <alignment horizontal="center" vertical="center"/>
    </xf>
    <xf numFmtId="2" fontId="19" fillId="0" borderId="1" xfId="0" applyNumberFormat="1" applyFont="1" applyBorder="1" applyAlignment="1">
      <alignment horizontal="center" vertical="center"/>
    </xf>
    <xf numFmtId="0" fontId="34" fillId="0" borderId="47" xfId="0" applyFont="1" applyBorder="1" applyAlignment="1">
      <alignment vertical="top" wrapText="1"/>
    </xf>
    <xf numFmtId="0" fontId="34" fillId="0" borderId="34" xfId="0" applyFont="1" applyBorder="1" applyAlignment="1">
      <alignment vertical="top" wrapText="1"/>
    </xf>
    <xf numFmtId="0" fontId="20" fillId="0" borderId="1" xfId="0" applyFont="1" applyBorder="1"/>
    <xf numFmtId="0" fontId="20" fillId="0" borderId="54" xfId="0" applyFont="1" applyBorder="1" applyAlignment="1">
      <alignment wrapText="1"/>
    </xf>
    <xf numFmtId="0" fontId="20" fillId="0" borderId="48" xfId="0" applyFont="1" applyBorder="1" applyAlignment="1">
      <alignment wrapText="1"/>
    </xf>
    <xf numFmtId="0" fontId="17" fillId="4" borderId="15" xfId="0" applyFont="1" applyFill="1" applyBorder="1"/>
    <xf numFmtId="0" fontId="17" fillId="4" borderId="16" xfId="0" applyFont="1" applyFill="1" applyBorder="1"/>
    <xf numFmtId="0" fontId="19" fillId="0" borderId="1" xfId="0" applyFont="1" applyBorder="1" applyAlignment="1">
      <alignment horizontal="center" vertical="center" wrapText="1"/>
    </xf>
    <xf numFmtId="2" fontId="19" fillId="5" borderId="1" xfId="0" applyNumberFormat="1" applyFont="1" applyFill="1" applyBorder="1" applyAlignment="1">
      <alignment horizontal="center" vertical="center"/>
    </xf>
    <xf numFmtId="0" fontId="14" fillId="0" borderId="0" xfId="0" applyFont="1" applyAlignment="1">
      <alignment wrapText="1"/>
    </xf>
    <xf numFmtId="0" fontId="0" fillId="0" borderId="0" xfId="0" applyAlignment="1">
      <alignment horizontal="center" wrapText="1"/>
    </xf>
    <xf numFmtId="0" fontId="14" fillId="0" borderId="0" xfId="0" applyFont="1"/>
    <xf numFmtId="0" fontId="0" fillId="0" borderId="0" xfId="0" applyAlignment="1"/>
    <xf numFmtId="0" fontId="3" fillId="0" borderId="15" xfId="0" applyFont="1" applyBorder="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0" fillId="0" borderId="0" xfId="0" applyAlignment="1">
      <alignment vertical="top" wrapText="1"/>
    </xf>
    <xf numFmtId="0" fontId="0" fillId="0" borderId="0" xfId="0" applyAlignment="1">
      <alignment wrapText="1"/>
    </xf>
    <xf numFmtId="0" fontId="37" fillId="0" borderId="1" xfId="0" applyFont="1" applyBorder="1" applyAlignment="1">
      <alignment horizontal="left" indent="5"/>
    </xf>
    <xf numFmtId="0" fontId="37" fillId="0" borderId="1" xfId="0" applyFont="1" applyBorder="1"/>
    <xf numFmtId="0" fontId="37" fillId="0" borderId="1" xfId="0" applyFont="1" applyBorder="1" applyAlignment="1">
      <alignment wrapText="1"/>
    </xf>
    <xf numFmtId="0" fontId="5" fillId="0" borderId="34" xfId="1" applyBorder="1" applyAlignment="1" applyProtection="1"/>
    <xf numFmtId="0" fontId="38" fillId="0" borderId="0" xfId="0" applyFont="1"/>
    <xf numFmtId="0" fontId="37" fillId="0" borderId="1" xfId="0" applyFont="1" applyBorder="1" applyAlignment="1">
      <alignment horizontal="left" indent="4"/>
    </xf>
  </cellXfs>
  <cellStyles count="3">
    <cellStyle name="Hyperlink" xfId="1" builtinId="8"/>
    <cellStyle name="Normal" xfId="0" builtinId="0"/>
    <cellStyle name="Percent" xfId="2" builtinId="5"/>
  </cellStyles>
  <dxfs count="43">
    <dxf>
      <fill>
        <patternFill>
          <bgColor indexed="52"/>
        </patternFill>
      </fill>
    </dxf>
    <dxf>
      <fill>
        <patternFill>
          <bgColor indexed="43"/>
        </patternFill>
      </fill>
    </dxf>
    <dxf>
      <fill>
        <patternFill>
          <bgColor indexed="42"/>
        </patternFill>
      </fill>
    </dxf>
    <dxf>
      <font>
        <condense val="0"/>
        <extend val="0"/>
        <color auto="1"/>
      </font>
      <fill>
        <patternFill>
          <bgColor indexed="52"/>
        </patternFill>
      </fill>
    </dxf>
    <dxf>
      <fill>
        <patternFill>
          <bgColor indexed="42"/>
        </patternFill>
      </fill>
    </dxf>
    <dxf>
      <font>
        <condense val="0"/>
        <extend val="0"/>
        <color auto="1"/>
      </font>
      <fill>
        <patternFill>
          <bgColor indexed="52"/>
        </patternFill>
      </fill>
    </dxf>
    <dxf>
      <fill>
        <patternFill>
          <bgColor indexed="46"/>
        </patternFill>
      </fill>
    </dxf>
    <dxf>
      <fill>
        <patternFill>
          <bgColor indexed="46"/>
        </patternFill>
      </fill>
    </dxf>
    <dxf>
      <fill>
        <patternFill>
          <bgColor indexed="42"/>
        </patternFill>
      </fill>
    </dxf>
    <dxf>
      <fill>
        <patternFill>
          <bgColor indexed="46"/>
        </patternFill>
      </fill>
    </dxf>
    <dxf>
      <fill>
        <patternFill>
          <bgColor indexed="42"/>
        </patternFill>
      </fill>
    </dxf>
    <dxf>
      <fill>
        <patternFill>
          <bgColor indexed="51"/>
        </patternFill>
      </fill>
    </dxf>
    <dxf>
      <fill>
        <patternFill>
          <bgColor indexed="42"/>
        </patternFill>
      </fill>
    </dxf>
    <dxf>
      <fill>
        <patternFill>
          <bgColor indexed="51"/>
        </patternFill>
      </fill>
    </dxf>
    <dxf>
      <fill>
        <patternFill>
          <bgColor indexed="42"/>
        </patternFill>
      </fill>
    </dxf>
    <dxf>
      <fill>
        <patternFill>
          <bgColor indexed="51"/>
        </patternFill>
      </fill>
    </dxf>
    <dxf>
      <fill>
        <patternFill>
          <bgColor indexed="42"/>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50"/>
        </patternFill>
      </fill>
    </dxf>
    <dxf>
      <font>
        <condense val="0"/>
        <extend val="0"/>
        <color indexed="9"/>
      </font>
      <fill>
        <patternFill>
          <bgColor indexed="58"/>
        </patternFill>
      </fill>
    </dxf>
    <dxf>
      <fill>
        <patternFill>
          <bgColor indexed="52"/>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ont>
        <condense val="0"/>
        <extend val="0"/>
        <color indexed="9"/>
      </font>
      <fill>
        <patternFill>
          <bgColor indexed="58"/>
        </patternFill>
      </fill>
    </dxf>
    <dxf>
      <fill>
        <patternFill>
          <bgColor indexed="52"/>
        </patternFill>
      </fill>
    </dxf>
    <dxf>
      <fill>
        <patternFill>
          <bgColor indexed="43"/>
        </patternFill>
      </fill>
    </dxf>
    <dxf>
      <fill>
        <patternFill>
          <bgColor indexed="53"/>
        </patternFill>
      </fill>
    </dxf>
    <dxf>
      <fill>
        <patternFill>
          <bgColor indexed="53"/>
        </patternFill>
      </fill>
    </dxf>
    <dxf>
      <font>
        <condense val="0"/>
        <extend val="0"/>
        <color auto="1"/>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276225</xdr:colOff>
      <xdr:row>17</xdr:row>
      <xdr:rowOff>9525</xdr:rowOff>
    </xdr:from>
    <xdr:to>
      <xdr:col>1</xdr:col>
      <xdr:colOff>1343025</xdr:colOff>
      <xdr:row>35</xdr:row>
      <xdr:rowOff>38100</xdr:rowOff>
    </xdr:to>
    <xdr:pic>
      <xdr:nvPicPr>
        <xdr:cNvPr id="2049" name="Picture 1" descr="SE London Wards &amp; Postcode Distric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85" t="4686" r="68729" b="57486"/>
        <a:stretch>
          <a:fillRect/>
        </a:stretch>
      </xdr:blipFill>
      <xdr:spPr bwMode="auto">
        <a:xfrm>
          <a:off x="276225" y="3810000"/>
          <a:ext cx="2514600" cy="3152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419100</xdr:colOff>
      <xdr:row>20</xdr:row>
      <xdr:rowOff>85725</xdr:rowOff>
    </xdr:from>
    <xdr:to>
      <xdr:col>6</xdr:col>
      <xdr:colOff>438150</xdr:colOff>
      <xdr:row>24</xdr:row>
      <xdr:rowOff>19050</xdr:rowOff>
    </xdr:to>
    <xdr:sp macro="" textlink="">
      <xdr:nvSpPr>
        <xdr:cNvPr id="9223" name="Line 7"/>
        <xdr:cNvSpPr>
          <a:spLocks noChangeShapeType="1"/>
        </xdr:cNvSpPr>
      </xdr:nvSpPr>
      <xdr:spPr bwMode="auto">
        <a:xfrm>
          <a:off x="5210175" y="5000625"/>
          <a:ext cx="628650" cy="74295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295275</xdr:colOff>
      <xdr:row>20</xdr:row>
      <xdr:rowOff>104775</xdr:rowOff>
    </xdr:from>
    <xdr:to>
      <xdr:col>6</xdr:col>
      <xdr:colOff>447675</xdr:colOff>
      <xdr:row>32</xdr:row>
      <xdr:rowOff>19050</xdr:rowOff>
    </xdr:to>
    <xdr:sp macro="" textlink="">
      <xdr:nvSpPr>
        <xdr:cNvPr id="9224" name="Line 8"/>
        <xdr:cNvSpPr>
          <a:spLocks noChangeShapeType="1"/>
        </xdr:cNvSpPr>
      </xdr:nvSpPr>
      <xdr:spPr bwMode="auto">
        <a:xfrm>
          <a:off x="4476750" y="5019675"/>
          <a:ext cx="1371600" cy="2181225"/>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523875</xdr:colOff>
      <xdr:row>20</xdr:row>
      <xdr:rowOff>57150</xdr:rowOff>
    </xdr:from>
    <xdr:to>
      <xdr:col>3</xdr:col>
      <xdr:colOff>819150</xdr:colOff>
      <xdr:row>34</xdr:row>
      <xdr:rowOff>38100</xdr:rowOff>
    </xdr:to>
    <xdr:sp macro="" textlink="">
      <xdr:nvSpPr>
        <xdr:cNvPr id="9227" name="Line 11"/>
        <xdr:cNvSpPr>
          <a:spLocks noChangeShapeType="1"/>
        </xdr:cNvSpPr>
      </xdr:nvSpPr>
      <xdr:spPr bwMode="auto">
        <a:xfrm flipH="1">
          <a:off x="2933700" y="4972050"/>
          <a:ext cx="838200" cy="257175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7</xdr:col>
      <xdr:colOff>47625</xdr:colOff>
      <xdr:row>28</xdr:row>
      <xdr:rowOff>114300</xdr:rowOff>
    </xdr:from>
    <xdr:to>
      <xdr:col>13</xdr:col>
      <xdr:colOff>561975</xdr:colOff>
      <xdr:row>38</xdr:row>
      <xdr:rowOff>152400</xdr:rowOff>
    </xdr:to>
    <xdr:pic>
      <xdr:nvPicPr>
        <xdr:cNvPr id="9231"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6648450"/>
          <a:ext cx="4171950" cy="19812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7</xdr:col>
      <xdr:colOff>28575</xdr:colOff>
      <xdr:row>20</xdr:row>
      <xdr:rowOff>142875</xdr:rowOff>
    </xdr:from>
    <xdr:to>
      <xdr:col>13</xdr:col>
      <xdr:colOff>523875</xdr:colOff>
      <xdr:row>28</xdr:row>
      <xdr:rowOff>38100</xdr:rowOff>
    </xdr:to>
    <xdr:pic>
      <xdr:nvPicPr>
        <xdr:cNvPr id="9233" name="Picture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5057775"/>
          <a:ext cx="4152900" cy="1514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12295" name="Object 7"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4" name="Object 6"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3" name="Object 5"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2" name="Object 4"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1" name="Object 3"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90" name="Object 2"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0</xdr:rowOff>
    </xdr:to>
    <xdr:pic>
      <xdr:nvPicPr>
        <xdr:cNvPr id="12289" name="Object 1"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0"/>
          <a:ext cx="6096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16" name="Picture 15"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17" name="Picture 16"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18" name="Picture 17"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19" name="Picture 18"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20" name="Picture 19"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21" name="Picture 20"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0</xdr:colOff>
      <xdr:row>0</xdr:row>
      <xdr:rowOff>0</xdr:rowOff>
    </xdr:from>
    <xdr:to>
      <xdr:col>1</xdr:col>
      <xdr:colOff>0</xdr:colOff>
      <xdr:row>0</xdr:row>
      <xdr:rowOff>323850</xdr:rowOff>
    </xdr:to>
    <xdr:pic>
      <xdr:nvPicPr>
        <xdr:cNvPr id="22" name="Picture 21" hidden="1"/>
        <xdr:cNvPicPr preferRelativeResize="0">
          <a:picLocks noRot="1" noChangeArrowheads="1" noChangeShapeType="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0" y="7296150"/>
          <a:ext cx="609600" cy="3238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direct.gov.uk/en/MoneyTaxAndBenefits/BenefitsTaxCreditsAndOtherSupport/On_a_low_income/DG_185670" TargetMode="External"/><Relationship Id="rId2" Type="http://schemas.openxmlformats.org/officeDocument/2006/relationships/hyperlink" Target="http://www.hmrc.gov.uk/rates/taxcredits.htm" TargetMode="External"/><Relationship Id="rId1" Type="http://schemas.openxmlformats.org/officeDocument/2006/relationships/hyperlink" Target="http://www.hmrc.gov.uk/rates/taxcredits.htm" TargetMode="External"/><Relationship Id="rId5" Type="http://schemas.openxmlformats.org/officeDocument/2006/relationships/drawing" Target="../drawings/drawing2.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dwp.gov.uk/newsroom/press-releases/2012/may-2012/dwp046-12.shtml"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ataspring.org.uk/dataservices/IntRGtables.asp" TargetMode="External"/><Relationship Id="rId1" Type="http://schemas.openxmlformats.org/officeDocument/2006/relationships/hyperlink" Target="https://lha-direct.voa.gov.uk/search.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lha-direct.voa.gov.uk/search.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lha-direct.voa.gov.uk/search.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dataspring.org.uk/dataservices/IntRGtables.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J37"/>
  <sheetViews>
    <sheetView zoomScale="75" zoomScaleNormal="100" workbookViewId="0">
      <selection activeCell="B8" sqref="B8"/>
    </sheetView>
  </sheetViews>
  <sheetFormatPr defaultRowHeight="12.75" x14ac:dyDescent="0.2"/>
  <cols>
    <col min="1" max="1" width="21.7109375" style="1" customWidth="1"/>
    <col min="2" max="2" width="85.7109375" customWidth="1"/>
    <col min="5" max="5" width="17.85546875" customWidth="1"/>
  </cols>
  <sheetData>
    <row r="1" spans="1:2" ht="20.25" x14ac:dyDescent="0.3">
      <c r="A1" s="71" t="s">
        <v>314</v>
      </c>
      <c r="B1" s="8"/>
    </row>
    <row r="2" spans="1:2" x14ac:dyDescent="0.2">
      <c r="A2" s="112"/>
      <c r="B2" s="11"/>
    </row>
    <row r="3" spans="1:2" ht="15.75" customHeight="1" x14ac:dyDescent="0.2">
      <c r="A3" s="219" t="s">
        <v>315</v>
      </c>
      <c r="B3" s="220"/>
    </row>
    <row r="4" spans="1:2" ht="7.5" customHeight="1" x14ac:dyDescent="0.2">
      <c r="A4" s="221"/>
      <c r="B4" s="220"/>
    </row>
    <row r="5" spans="1:2" ht="90" customHeight="1" x14ac:dyDescent="0.2">
      <c r="A5" s="70" t="s">
        <v>125</v>
      </c>
      <c r="B5" s="222" t="s">
        <v>300</v>
      </c>
    </row>
    <row r="6" spans="1:2" ht="12.75" customHeight="1" x14ac:dyDescent="0.2">
      <c r="A6" s="70"/>
      <c r="B6" s="222"/>
    </row>
    <row r="7" spans="1:2" ht="12.75" customHeight="1" x14ac:dyDescent="0.2">
      <c r="A7" s="70" t="s">
        <v>37</v>
      </c>
      <c r="B7" s="222" t="s">
        <v>316</v>
      </c>
    </row>
    <row r="8" spans="1:2" x14ac:dyDescent="0.2">
      <c r="A8" s="70"/>
      <c r="B8" s="222" t="s">
        <v>122</v>
      </c>
    </row>
    <row r="9" spans="1:2" x14ac:dyDescent="0.2">
      <c r="A9" s="70"/>
      <c r="B9" s="222" t="s">
        <v>216</v>
      </c>
    </row>
    <row r="10" spans="1:2" x14ac:dyDescent="0.2">
      <c r="A10" s="70"/>
      <c r="B10" s="222" t="s">
        <v>58</v>
      </c>
    </row>
    <row r="11" spans="1:2" x14ac:dyDescent="0.2">
      <c r="A11" s="70"/>
      <c r="B11" s="222" t="s">
        <v>213</v>
      </c>
    </row>
    <row r="12" spans="1:2" x14ac:dyDescent="0.2">
      <c r="A12" s="70" t="s">
        <v>214</v>
      </c>
      <c r="B12" s="222"/>
    </row>
    <row r="13" spans="1:2" x14ac:dyDescent="0.2">
      <c r="A13" s="70" t="s">
        <v>38</v>
      </c>
      <c r="B13" s="222" t="s">
        <v>10</v>
      </c>
    </row>
    <row r="14" spans="1:2" x14ac:dyDescent="0.2">
      <c r="A14" s="221"/>
      <c r="B14" s="222" t="s">
        <v>41</v>
      </c>
    </row>
    <row r="15" spans="1:2" x14ac:dyDescent="0.2">
      <c r="A15" s="112"/>
      <c r="B15" s="11"/>
    </row>
    <row r="16" spans="1:2" x14ac:dyDescent="0.2">
      <c r="A16" s="70" t="s">
        <v>120</v>
      </c>
      <c r="B16" s="11"/>
    </row>
    <row r="17" spans="1:10" x14ac:dyDescent="0.2">
      <c r="A17" s="112"/>
      <c r="B17" s="11"/>
    </row>
    <row r="18" spans="1:10" x14ac:dyDescent="0.2">
      <c r="A18" s="112"/>
      <c r="B18" s="11"/>
    </row>
    <row r="19" spans="1:10" ht="144" customHeight="1" x14ac:dyDescent="0.2">
      <c r="A19" s="112"/>
      <c r="B19" s="11"/>
    </row>
    <row r="20" spans="1:10" x14ac:dyDescent="0.2">
      <c r="A20" s="112"/>
      <c r="B20" s="11"/>
    </row>
    <row r="21" spans="1:10" ht="27" hidden="1" customHeight="1" x14ac:dyDescent="0.2">
      <c r="A21" s="9"/>
      <c r="B21" s="11"/>
      <c r="C21" s="337"/>
      <c r="D21" s="337"/>
      <c r="E21" s="337"/>
      <c r="F21" s="337"/>
      <c r="G21" s="337"/>
      <c r="H21" s="337"/>
      <c r="I21" s="337"/>
      <c r="J21" s="338"/>
    </row>
    <row r="22" spans="1:10" hidden="1" x14ac:dyDescent="0.2">
      <c r="A22" s="9"/>
      <c r="B22" s="11"/>
      <c r="C22" s="10"/>
      <c r="D22" s="10"/>
      <c r="E22" s="10"/>
      <c r="F22" s="10"/>
      <c r="G22" s="10"/>
      <c r="H22" s="10"/>
      <c r="I22" s="10"/>
      <c r="J22" s="11"/>
    </row>
    <row r="23" spans="1:10" hidden="1" x14ac:dyDescent="0.2">
      <c r="A23" s="9"/>
      <c r="B23" s="11"/>
      <c r="C23" s="10"/>
      <c r="D23" s="10"/>
      <c r="E23" s="10"/>
      <c r="F23" s="10"/>
      <c r="G23" s="10"/>
      <c r="H23" s="10"/>
      <c r="I23" s="10"/>
      <c r="J23" s="11"/>
    </row>
    <row r="24" spans="1:10" hidden="1" x14ac:dyDescent="0.2">
      <c r="A24" s="9"/>
      <c r="B24" s="11"/>
      <c r="C24" s="10"/>
      <c r="D24" s="10"/>
      <c r="E24" s="10"/>
      <c r="F24" s="10"/>
      <c r="G24" s="10"/>
      <c r="H24" s="10"/>
      <c r="I24" s="10"/>
      <c r="J24" s="11"/>
    </row>
    <row r="25" spans="1:10" hidden="1" x14ac:dyDescent="0.2">
      <c r="A25" s="9"/>
      <c r="B25" s="11"/>
      <c r="C25" s="10"/>
      <c r="D25" s="10"/>
      <c r="E25" s="10"/>
      <c r="F25" s="10"/>
      <c r="G25" s="10"/>
      <c r="H25" s="10"/>
      <c r="I25" s="10"/>
      <c r="J25" s="11"/>
    </row>
    <row r="26" spans="1:10" hidden="1" x14ac:dyDescent="0.2">
      <c r="A26" s="9"/>
      <c r="B26" s="11"/>
      <c r="C26" s="10"/>
      <c r="D26" s="10"/>
      <c r="E26" s="10"/>
      <c r="F26" s="10"/>
      <c r="G26" s="10"/>
      <c r="H26" s="10"/>
      <c r="I26" s="10"/>
      <c r="J26" s="11"/>
    </row>
    <row r="27" spans="1:10" hidden="1" x14ac:dyDescent="0.2">
      <c r="A27" s="9"/>
      <c r="B27" s="11"/>
      <c r="C27" s="10"/>
      <c r="D27" s="10"/>
      <c r="E27" s="10"/>
      <c r="F27" s="10"/>
      <c r="G27" s="10"/>
      <c r="H27" s="10"/>
      <c r="I27" s="10"/>
      <c r="J27" s="11"/>
    </row>
    <row r="28" spans="1:10" hidden="1" x14ac:dyDescent="0.2">
      <c r="A28" s="9"/>
      <c r="B28" s="11"/>
      <c r="C28" s="10"/>
      <c r="D28" s="10"/>
      <c r="E28" s="10"/>
      <c r="F28" s="10"/>
      <c r="G28" s="10"/>
      <c r="H28" s="10"/>
      <c r="I28" s="10"/>
      <c r="J28" s="11"/>
    </row>
    <row r="29" spans="1:10" ht="13.5" hidden="1" thickBot="1" x14ac:dyDescent="0.25">
      <c r="A29" s="12"/>
      <c r="B29" s="14"/>
      <c r="C29" s="13"/>
      <c r="D29" s="13"/>
      <c r="E29" s="13"/>
      <c r="F29" s="13"/>
      <c r="G29" s="13"/>
      <c r="H29" s="13"/>
      <c r="I29" s="13"/>
      <c r="J29" s="14"/>
    </row>
    <row r="30" spans="1:10" x14ac:dyDescent="0.2">
      <c r="A30" s="9"/>
      <c r="B30" s="11"/>
    </row>
    <row r="31" spans="1:10" x14ac:dyDescent="0.2">
      <c r="A31" s="9"/>
      <c r="B31" s="11"/>
    </row>
    <row r="32" spans="1:10" x14ac:dyDescent="0.2">
      <c r="A32" s="9"/>
      <c r="B32" s="11"/>
    </row>
    <row r="33" spans="1:2" x14ac:dyDescent="0.2">
      <c r="A33" s="9"/>
      <c r="B33" s="11"/>
    </row>
    <row r="34" spans="1:2" x14ac:dyDescent="0.2">
      <c r="A34" s="9"/>
      <c r="B34" s="11"/>
    </row>
    <row r="35" spans="1:2" x14ac:dyDescent="0.2">
      <c r="A35" s="9"/>
      <c r="B35" s="11"/>
    </row>
    <row r="36" spans="1:2" x14ac:dyDescent="0.2">
      <c r="A36" s="9"/>
      <c r="B36" s="11"/>
    </row>
    <row r="37" spans="1:2" ht="13.5" thickBot="1" x14ac:dyDescent="0.25">
      <c r="A37" s="12"/>
      <c r="B37" s="14"/>
    </row>
  </sheetData>
  <mergeCells count="1">
    <mergeCell ref="C21:J21"/>
  </mergeCells>
  <phoneticPr fontId="0" type="noConversion"/>
  <pageMargins left="0.75" right="0.75" top="1" bottom="1" header="0.5" footer="0.5"/>
  <pageSetup paperSize="9" scale="8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topLeftCell="A16" zoomScale="75" workbookViewId="0">
      <selection activeCell="U34" sqref="U34"/>
    </sheetView>
  </sheetViews>
  <sheetFormatPr defaultRowHeight="12.75" x14ac:dyDescent="0.2"/>
  <cols>
    <col min="1" max="1" width="26.85546875" customWidth="1"/>
    <col min="2" max="2" width="9.28515625" bestFit="1" customWidth="1"/>
    <col min="3" max="3" width="8.140625" customWidth="1"/>
    <col min="4" max="4" width="18.42578125" customWidth="1"/>
  </cols>
  <sheetData>
    <row r="1" spans="1:20" ht="20.25" x14ac:dyDescent="0.3">
      <c r="A1" s="38" t="s">
        <v>319</v>
      </c>
    </row>
    <row r="2" spans="1:20" ht="48" customHeight="1" x14ac:dyDescent="0.3">
      <c r="A2" s="91"/>
      <c r="B2" s="2"/>
      <c r="C2" s="2"/>
      <c r="D2" s="443" t="s">
        <v>182</v>
      </c>
      <c r="E2" s="444"/>
      <c r="F2" s="445"/>
      <c r="G2" s="271" t="s">
        <v>184</v>
      </c>
      <c r="H2" s="2"/>
      <c r="I2" s="2"/>
      <c r="J2" s="2"/>
    </row>
    <row r="3" spans="1:20" ht="102" x14ac:dyDescent="0.2">
      <c r="A3" s="2"/>
      <c r="B3" s="92" t="s">
        <v>185</v>
      </c>
      <c r="C3" s="92" t="s">
        <v>183</v>
      </c>
      <c r="D3" s="92" t="s">
        <v>280</v>
      </c>
      <c r="E3" s="92" t="s">
        <v>320</v>
      </c>
      <c r="F3" s="92" t="s">
        <v>296</v>
      </c>
      <c r="G3" s="92" t="s">
        <v>297</v>
      </c>
      <c r="H3" s="97" t="s">
        <v>299</v>
      </c>
      <c r="I3" s="83" t="s">
        <v>141</v>
      </c>
      <c r="J3" s="83" t="s">
        <v>142</v>
      </c>
      <c r="K3" s="61"/>
    </row>
    <row r="4" spans="1:20" x14ac:dyDescent="0.2">
      <c r="A4" s="62" t="s">
        <v>292</v>
      </c>
      <c r="B4" s="62">
        <v>0</v>
      </c>
      <c r="C4" s="62">
        <v>1</v>
      </c>
      <c r="D4" s="285">
        <f>C37</f>
        <v>57.35</v>
      </c>
      <c r="E4" s="93"/>
      <c r="F4" s="3"/>
      <c r="G4" s="3"/>
      <c r="H4" s="84">
        <v>350</v>
      </c>
      <c r="I4" s="84">
        <f t="shared" ref="I4:I20" si="0">D4+E4+F4+G4</f>
        <v>57.35</v>
      </c>
      <c r="J4" s="84">
        <f t="shared" ref="J4:J20" si="1">H4-I4</f>
        <v>292.64999999999998</v>
      </c>
    </row>
    <row r="5" spans="1:20" x14ac:dyDescent="0.2">
      <c r="A5" s="2" t="s">
        <v>293</v>
      </c>
      <c r="B5" s="2">
        <v>1</v>
      </c>
      <c r="C5" s="2">
        <v>1</v>
      </c>
      <c r="D5" s="285">
        <f>C38</f>
        <v>72.400000000000006</v>
      </c>
      <c r="E5" s="93"/>
      <c r="F5" s="3"/>
      <c r="G5" s="3"/>
      <c r="H5" s="84">
        <v>350</v>
      </c>
      <c r="I5" s="84">
        <f t="shared" si="0"/>
        <v>72.400000000000006</v>
      </c>
      <c r="J5" s="84">
        <f t="shared" si="1"/>
        <v>277.60000000000002</v>
      </c>
    </row>
    <row r="6" spans="1:20" x14ac:dyDescent="0.2">
      <c r="A6" s="2" t="s">
        <v>143</v>
      </c>
      <c r="B6" s="2">
        <v>1</v>
      </c>
      <c r="C6" s="2">
        <v>2</v>
      </c>
      <c r="D6" s="285">
        <f>$C$44</f>
        <v>112.55</v>
      </c>
      <c r="E6" s="93"/>
      <c r="F6" s="3"/>
      <c r="G6" s="3"/>
      <c r="H6" s="84">
        <v>500</v>
      </c>
      <c r="I6" s="84">
        <f t="shared" si="0"/>
        <v>112.55</v>
      </c>
      <c r="J6" s="84">
        <f t="shared" si="1"/>
        <v>387.45</v>
      </c>
    </row>
    <row r="7" spans="1:20" x14ac:dyDescent="0.2">
      <c r="A7" s="2" t="s">
        <v>144</v>
      </c>
      <c r="B7" s="2">
        <v>2</v>
      </c>
      <c r="C7" s="2">
        <v>3</v>
      </c>
      <c r="D7" s="285">
        <f t="shared" ref="D7:D12" si="2">$C$44</f>
        <v>112.55</v>
      </c>
      <c r="E7" s="331">
        <f t="shared" ref="E7:E12" si="3">C27</f>
        <v>63.365384615384613</v>
      </c>
      <c r="F7" s="330">
        <v>20.5</v>
      </c>
      <c r="G7" s="3"/>
      <c r="H7" s="84">
        <v>500</v>
      </c>
      <c r="I7" s="84">
        <f t="shared" si="0"/>
        <v>196.4153846153846</v>
      </c>
      <c r="J7" s="84">
        <f t="shared" si="1"/>
        <v>303.5846153846154</v>
      </c>
    </row>
    <row r="8" spans="1:20" x14ac:dyDescent="0.2">
      <c r="A8" s="2" t="s">
        <v>145</v>
      </c>
      <c r="B8" s="2">
        <v>2</v>
      </c>
      <c r="C8" s="2">
        <v>4</v>
      </c>
      <c r="D8" s="285">
        <f t="shared" si="2"/>
        <v>112.55</v>
      </c>
      <c r="E8" s="331">
        <f t="shared" si="3"/>
        <v>116.25</v>
      </c>
      <c r="F8" s="330">
        <f>F7+13.55</f>
        <v>34.049999999999997</v>
      </c>
      <c r="G8" s="3"/>
      <c r="H8" s="84">
        <v>500</v>
      </c>
      <c r="I8" s="84">
        <f t="shared" si="0"/>
        <v>262.85000000000002</v>
      </c>
      <c r="J8" s="84">
        <f t="shared" si="1"/>
        <v>237.14999999999998</v>
      </c>
      <c r="L8" s="287"/>
    </row>
    <row r="9" spans="1:20" x14ac:dyDescent="0.2">
      <c r="A9" s="2" t="s">
        <v>146</v>
      </c>
      <c r="B9" s="2">
        <v>3</v>
      </c>
      <c r="C9" s="2">
        <v>5</v>
      </c>
      <c r="D9" s="285">
        <f t="shared" si="2"/>
        <v>112.55</v>
      </c>
      <c r="E9" s="331">
        <f t="shared" si="3"/>
        <v>169.13461538461539</v>
      </c>
      <c r="F9" s="330">
        <f>F8+13.55</f>
        <v>47.599999999999994</v>
      </c>
      <c r="G9" s="3"/>
      <c r="H9" s="84">
        <v>500</v>
      </c>
      <c r="I9" s="84">
        <f t="shared" si="0"/>
        <v>329.28461538461534</v>
      </c>
      <c r="J9" s="84">
        <f t="shared" si="1"/>
        <v>170.71538461538466</v>
      </c>
      <c r="L9" s="287"/>
    </row>
    <row r="10" spans="1:20" x14ac:dyDescent="0.2">
      <c r="A10" s="2" t="s">
        <v>147</v>
      </c>
      <c r="B10" s="2">
        <v>3</v>
      </c>
      <c r="C10" s="2">
        <v>6</v>
      </c>
      <c r="D10" s="285">
        <f t="shared" si="2"/>
        <v>112.55</v>
      </c>
      <c r="E10" s="331">
        <f t="shared" si="3"/>
        <v>222.01923076923077</v>
      </c>
      <c r="F10" s="330">
        <f>F9+13.55</f>
        <v>61.149999999999991</v>
      </c>
      <c r="G10" s="3"/>
      <c r="H10" s="84">
        <v>500</v>
      </c>
      <c r="I10" s="84">
        <f t="shared" si="0"/>
        <v>395.71923076923076</v>
      </c>
      <c r="J10" s="84">
        <f t="shared" si="1"/>
        <v>104.28076923076924</v>
      </c>
      <c r="L10" s="287"/>
    </row>
    <row r="11" spans="1:20" x14ac:dyDescent="0.2">
      <c r="A11" s="2" t="s">
        <v>148</v>
      </c>
      <c r="B11" s="2">
        <v>4</v>
      </c>
      <c r="C11" s="2">
        <v>7</v>
      </c>
      <c r="D11" s="285">
        <f t="shared" si="2"/>
        <v>112.55</v>
      </c>
      <c r="E11" s="331">
        <f t="shared" si="3"/>
        <v>274.90384615384613</v>
      </c>
      <c r="F11" s="330">
        <f>F10+13.55</f>
        <v>74.699999999999989</v>
      </c>
      <c r="G11" s="3"/>
      <c r="H11" s="84">
        <v>500</v>
      </c>
      <c r="I11" s="84">
        <f t="shared" si="0"/>
        <v>462.15384615384613</v>
      </c>
      <c r="J11" s="84">
        <f t="shared" si="1"/>
        <v>37.846153846153868</v>
      </c>
      <c r="L11" s="287"/>
    </row>
    <row r="12" spans="1:20" x14ac:dyDescent="0.2">
      <c r="A12" s="2" t="s">
        <v>149</v>
      </c>
      <c r="B12" s="2">
        <v>4</v>
      </c>
      <c r="C12" s="2">
        <v>8</v>
      </c>
      <c r="D12" s="285">
        <f t="shared" si="2"/>
        <v>112.55</v>
      </c>
      <c r="E12" s="331">
        <f t="shared" si="3"/>
        <v>327.78846153846155</v>
      </c>
      <c r="F12" s="330">
        <f>F11+13.55</f>
        <v>88.249999999999986</v>
      </c>
      <c r="G12" s="3"/>
      <c r="H12" s="84">
        <v>500</v>
      </c>
      <c r="I12" s="84">
        <f t="shared" si="0"/>
        <v>528.5884615384615</v>
      </c>
      <c r="J12" s="84">
        <f t="shared" si="1"/>
        <v>-28.588461538461502</v>
      </c>
      <c r="L12" s="287"/>
    </row>
    <row r="13" spans="1:20" x14ac:dyDescent="0.2">
      <c r="A13" s="2" t="s">
        <v>150</v>
      </c>
      <c r="B13" s="2">
        <v>2</v>
      </c>
      <c r="C13" s="2">
        <v>3</v>
      </c>
      <c r="D13" s="285">
        <f t="shared" ref="D13:D18" si="4">$C$40</f>
        <v>72.400000000000006</v>
      </c>
      <c r="E13" s="331">
        <f t="shared" ref="E13:E18" si="5">C27</f>
        <v>63.365384615384613</v>
      </c>
      <c r="F13" s="330">
        <v>20.5</v>
      </c>
      <c r="G13" s="3"/>
      <c r="H13" s="84">
        <v>500</v>
      </c>
      <c r="I13" s="84">
        <f t="shared" si="0"/>
        <v>156.26538461538462</v>
      </c>
      <c r="J13" s="84">
        <f t="shared" si="1"/>
        <v>343.73461538461538</v>
      </c>
      <c r="L13" s="287"/>
    </row>
    <row r="14" spans="1:20" x14ac:dyDescent="0.2">
      <c r="A14" s="2" t="s">
        <v>151</v>
      </c>
      <c r="B14" s="2">
        <v>2</v>
      </c>
      <c r="C14" s="2">
        <v>3</v>
      </c>
      <c r="D14" s="285">
        <f t="shared" si="4"/>
        <v>72.400000000000006</v>
      </c>
      <c r="E14" s="331">
        <f t="shared" si="5"/>
        <v>116.25</v>
      </c>
      <c r="F14" s="330">
        <f>F13+13.55</f>
        <v>34.049999999999997</v>
      </c>
      <c r="G14" s="3"/>
      <c r="H14" s="84">
        <v>500</v>
      </c>
      <c r="I14" s="84">
        <f t="shared" si="0"/>
        <v>222.7</v>
      </c>
      <c r="J14" s="84">
        <f t="shared" si="1"/>
        <v>277.3</v>
      </c>
      <c r="L14" s="287"/>
    </row>
    <row r="15" spans="1:20" x14ac:dyDescent="0.2">
      <c r="A15" s="2" t="s">
        <v>152</v>
      </c>
      <c r="B15" s="2">
        <v>3</v>
      </c>
      <c r="C15" s="2">
        <v>4</v>
      </c>
      <c r="D15" s="285">
        <f t="shared" si="4"/>
        <v>72.400000000000006</v>
      </c>
      <c r="E15" s="331">
        <f t="shared" si="5"/>
        <v>169.13461538461539</v>
      </c>
      <c r="F15" s="330">
        <f>F14+13.55</f>
        <v>47.599999999999994</v>
      </c>
      <c r="G15" s="3"/>
      <c r="H15" s="84">
        <v>500</v>
      </c>
      <c r="I15" s="84">
        <f t="shared" si="0"/>
        <v>289.13461538461536</v>
      </c>
      <c r="J15" s="84">
        <f t="shared" si="1"/>
        <v>210.86538461538464</v>
      </c>
      <c r="L15" s="287"/>
    </row>
    <row r="16" spans="1:20" x14ac:dyDescent="0.2">
      <c r="A16" s="2" t="s">
        <v>153</v>
      </c>
      <c r="B16" s="2">
        <v>3</v>
      </c>
      <c r="C16" s="2">
        <v>5</v>
      </c>
      <c r="D16" s="285">
        <f t="shared" si="4"/>
        <v>72.400000000000006</v>
      </c>
      <c r="E16" s="331">
        <f t="shared" si="5"/>
        <v>222.01923076923077</v>
      </c>
      <c r="F16" s="330">
        <f>F15+13.55</f>
        <v>61.149999999999991</v>
      </c>
      <c r="G16" s="3"/>
      <c r="H16" s="84">
        <v>500</v>
      </c>
      <c r="I16" s="84">
        <f t="shared" si="0"/>
        <v>355.56923076923078</v>
      </c>
      <c r="J16" s="84">
        <f t="shared" si="1"/>
        <v>144.43076923076922</v>
      </c>
      <c r="L16" s="287"/>
      <c r="S16" s="61"/>
      <c r="T16" s="61"/>
    </row>
    <row r="17" spans="1:20" x14ac:dyDescent="0.2">
      <c r="A17" s="2" t="s">
        <v>154</v>
      </c>
      <c r="B17" s="2">
        <v>4</v>
      </c>
      <c r="C17" s="2">
        <v>6</v>
      </c>
      <c r="D17" s="285">
        <f t="shared" si="4"/>
        <v>72.400000000000006</v>
      </c>
      <c r="E17" s="331">
        <f t="shared" si="5"/>
        <v>274.90384615384613</v>
      </c>
      <c r="F17" s="330">
        <f>F16+13.55</f>
        <v>74.699999999999989</v>
      </c>
      <c r="G17" s="3"/>
      <c r="H17" s="84">
        <v>500</v>
      </c>
      <c r="I17" s="84">
        <f t="shared" si="0"/>
        <v>422.00384615384615</v>
      </c>
      <c r="J17" s="84">
        <f t="shared" si="1"/>
        <v>77.996153846153845</v>
      </c>
      <c r="L17" s="287"/>
      <c r="S17" s="61"/>
      <c r="T17" s="61"/>
    </row>
    <row r="18" spans="1:20" x14ac:dyDescent="0.2">
      <c r="A18" s="2" t="s">
        <v>155</v>
      </c>
      <c r="B18" s="2">
        <v>4</v>
      </c>
      <c r="C18" s="2">
        <v>7</v>
      </c>
      <c r="D18" s="285">
        <f t="shared" si="4"/>
        <v>72.400000000000006</v>
      </c>
      <c r="E18" s="331">
        <f t="shared" si="5"/>
        <v>327.78846153846155</v>
      </c>
      <c r="F18" s="330">
        <f>F17+13.55</f>
        <v>88.249999999999986</v>
      </c>
      <c r="G18" s="3"/>
      <c r="H18" s="84">
        <v>500</v>
      </c>
      <c r="I18" s="84">
        <f t="shared" si="0"/>
        <v>488.43846153846152</v>
      </c>
      <c r="J18" s="84">
        <f t="shared" si="1"/>
        <v>11.561538461538476</v>
      </c>
      <c r="L18" s="287"/>
      <c r="S18" s="61"/>
      <c r="T18" s="61"/>
    </row>
    <row r="19" spans="1:20" x14ac:dyDescent="0.2">
      <c r="A19" s="2" t="s">
        <v>156</v>
      </c>
      <c r="B19" s="2">
        <v>1</v>
      </c>
      <c r="C19" s="2">
        <v>2</v>
      </c>
      <c r="D19" s="285">
        <f>C39</f>
        <v>57.35</v>
      </c>
      <c r="E19" s="3"/>
      <c r="F19" s="3"/>
      <c r="G19" s="3"/>
      <c r="H19" s="84">
        <v>500</v>
      </c>
      <c r="I19" s="84">
        <f t="shared" si="0"/>
        <v>57.35</v>
      </c>
      <c r="J19" s="84">
        <f t="shared" si="1"/>
        <v>442.65</v>
      </c>
    </row>
    <row r="20" spans="1:20" x14ac:dyDescent="0.2">
      <c r="A20" s="2" t="s">
        <v>157</v>
      </c>
      <c r="B20" s="2">
        <v>1</v>
      </c>
      <c r="C20" s="2">
        <v>2</v>
      </c>
      <c r="D20" s="285">
        <f>C40</f>
        <v>72.400000000000006</v>
      </c>
      <c r="E20" s="3"/>
      <c r="F20" s="3"/>
      <c r="G20" s="3"/>
      <c r="H20" s="84">
        <v>500</v>
      </c>
      <c r="I20" s="84">
        <f t="shared" si="0"/>
        <v>72.400000000000006</v>
      </c>
      <c r="J20" s="84">
        <f t="shared" si="1"/>
        <v>427.6</v>
      </c>
    </row>
    <row r="22" spans="1:20" x14ac:dyDescent="0.2">
      <c r="A22" s="286" t="s">
        <v>283</v>
      </c>
      <c r="B22" s="61"/>
    </row>
    <row r="23" spans="1:20" ht="25.5" x14ac:dyDescent="0.2">
      <c r="A23" s="286" t="s">
        <v>282</v>
      </c>
      <c r="B23" s="61"/>
    </row>
    <row r="24" spans="1:20" x14ac:dyDescent="0.2">
      <c r="A24" s="94" t="s">
        <v>186</v>
      </c>
      <c r="B24" s="95" t="s">
        <v>206</v>
      </c>
      <c r="C24" s="95" t="s">
        <v>105</v>
      </c>
    </row>
    <row r="25" spans="1:20" x14ac:dyDescent="0.2">
      <c r="A25" s="288" t="s">
        <v>284</v>
      </c>
      <c r="B25" s="289">
        <v>545</v>
      </c>
      <c r="C25" s="290">
        <f t="shared" ref="C25:C32" si="6">B25/52</f>
        <v>10.48076923076923</v>
      </c>
    </row>
    <row r="26" spans="1:20" ht="25.5" x14ac:dyDescent="0.2">
      <c r="A26" s="288" t="s">
        <v>285</v>
      </c>
      <c r="B26" s="289">
        <v>2750</v>
      </c>
      <c r="C26" s="290">
        <f t="shared" si="6"/>
        <v>52.884615384615387</v>
      </c>
    </row>
    <row r="27" spans="1:20" x14ac:dyDescent="0.2">
      <c r="A27" s="96" t="s">
        <v>286</v>
      </c>
      <c r="B27" s="284">
        <f>B25+B26</f>
        <v>3295</v>
      </c>
      <c r="C27" s="3">
        <f t="shared" si="6"/>
        <v>63.365384615384613</v>
      </c>
    </row>
    <row r="28" spans="1:20" x14ac:dyDescent="0.2">
      <c r="A28" s="96" t="s">
        <v>287</v>
      </c>
      <c r="B28" s="284">
        <f>B27+$B$26</f>
        <v>6045</v>
      </c>
      <c r="C28" s="3">
        <f t="shared" si="6"/>
        <v>116.25</v>
      </c>
    </row>
    <row r="29" spans="1:20" x14ac:dyDescent="0.2">
      <c r="A29" s="96" t="s">
        <v>288</v>
      </c>
      <c r="B29" s="284">
        <f>B28+$B$26</f>
        <v>8795</v>
      </c>
      <c r="C29" s="3">
        <f t="shared" si="6"/>
        <v>169.13461538461539</v>
      </c>
    </row>
    <row r="30" spans="1:20" x14ac:dyDescent="0.2">
      <c r="A30" s="96" t="s">
        <v>289</v>
      </c>
      <c r="B30" s="284">
        <f>B29+$B$26</f>
        <v>11545</v>
      </c>
      <c r="C30" s="3">
        <f t="shared" si="6"/>
        <v>222.01923076923077</v>
      </c>
    </row>
    <row r="31" spans="1:20" x14ac:dyDescent="0.2">
      <c r="A31" s="96" t="s">
        <v>290</v>
      </c>
      <c r="B31" s="284">
        <f>B30+$B$26</f>
        <v>14295</v>
      </c>
      <c r="C31" s="3">
        <f t="shared" si="6"/>
        <v>274.90384615384613</v>
      </c>
    </row>
    <row r="32" spans="1:20" x14ac:dyDescent="0.2">
      <c r="A32" s="96" t="s">
        <v>291</v>
      </c>
      <c r="B32" s="284">
        <f>B31+$B$26</f>
        <v>17045</v>
      </c>
      <c r="C32" s="3">
        <f t="shared" si="6"/>
        <v>327.78846153846155</v>
      </c>
    </row>
    <row r="33" spans="1:10" x14ac:dyDescent="0.2">
      <c r="A33" s="4" t="s">
        <v>281</v>
      </c>
    </row>
    <row r="35" spans="1:10" x14ac:dyDescent="0.2">
      <c r="A35" s="1" t="s">
        <v>280</v>
      </c>
      <c r="B35" s="61"/>
    </row>
    <row r="36" spans="1:10" ht="38.25" x14ac:dyDescent="0.2">
      <c r="A36" s="332" t="s">
        <v>322</v>
      </c>
      <c r="B36" s="332" t="s">
        <v>323</v>
      </c>
      <c r="C36" s="332" t="s">
        <v>324</v>
      </c>
    </row>
    <row r="37" spans="1:10" x14ac:dyDescent="0.2">
      <c r="A37" s="92" t="s">
        <v>325</v>
      </c>
      <c r="B37" s="92" t="s">
        <v>326</v>
      </c>
      <c r="C37" s="333">
        <v>57.35</v>
      </c>
    </row>
    <row r="38" spans="1:10" x14ac:dyDescent="0.2">
      <c r="A38" s="92" t="s">
        <v>325</v>
      </c>
      <c r="B38" s="92" t="s">
        <v>327</v>
      </c>
      <c r="C38" s="333">
        <v>72.400000000000006</v>
      </c>
    </row>
    <row r="39" spans="1:10" x14ac:dyDescent="0.2">
      <c r="A39" s="92" t="s">
        <v>328</v>
      </c>
      <c r="B39" s="92" t="s">
        <v>329</v>
      </c>
      <c r="C39" s="333">
        <v>57.35</v>
      </c>
    </row>
    <row r="40" spans="1:10" x14ac:dyDescent="0.2">
      <c r="A40" s="92" t="s">
        <v>328</v>
      </c>
      <c r="B40" s="92" t="s">
        <v>330</v>
      </c>
      <c r="C40" s="333">
        <v>72.400000000000006</v>
      </c>
    </row>
    <row r="41" spans="1:10" ht="25.5" x14ac:dyDescent="0.2">
      <c r="A41" s="92" t="s">
        <v>331</v>
      </c>
      <c r="B41" s="92" t="s">
        <v>332</v>
      </c>
      <c r="C41" s="333">
        <v>56.8</v>
      </c>
    </row>
    <row r="42" spans="1:10" ht="51" x14ac:dyDescent="0.2">
      <c r="A42" s="92" t="s">
        <v>331</v>
      </c>
      <c r="B42" s="92" t="s">
        <v>333</v>
      </c>
      <c r="C42" s="333">
        <v>56.8</v>
      </c>
      <c r="H42" s="4" t="s">
        <v>281</v>
      </c>
    </row>
    <row r="43" spans="1:10" ht="51" x14ac:dyDescent="0.2">
      <c r="A43" s="92" t="s">
        <v>331</v>
      </c>
      <c r="B43" s="92" t="s">
        <v>334</v>
      </c>
      <c r="C43" s="333">
        <v>71.7</v>
      </c>
    </row>
    <row r="44" spans="1:10" ht="25.5" x14ac:dyDescent="0.2">
      <c r="A44" s="92" t="s">
        <v>331</v>
      </c>
      <c r="B44" s="92" t="s">
        <v>335</v>
      </c>
      <c r="C44" s="333">
        <v>112.55</v>
      </c>
      <c r="D44" s="61"/>
      <c r="E44" s="61"/>
      <c r="F44" s="61"/>
      <c r="G44" s="61"/>
      <c r="I44" s="61"/>
      <c r="J44" s="61"/>
    </row>
    <row r="45" spans="1:10" x14ac:dyDescent="0.2">
      <c r="A45" s="2"/>
      <c r="B45" s="92"/>
      <c r="C45" s="92"/>
      <c r="D45" s="61"/>
      <c r="E45" s="61"/>
      <c r="F45" s="61"/>
      <c r="G45" s="61"/>
      <c r="I45" s="61"/>
      <c r="J45" s="61"/>
    </row>
    <row r="46" spans="1:10" x14ac:dyDescent="0.2">
      <c r="B46" s="61"/>
      <c r="C46" s="61"/>
      <c r="D46" s="61"/>
      <c r="E46" s="61"/>
      <c r="F46" s="61"/>
      <c r="G46" s="61"/>
      <c r="I46" s="61"/>
      <c r="J46" s="61"/>
    </row>
    <row r="47" spans="1:10" x14ac:dyDescent="0.2">
      <c r="A47" s="4" t="s">
        <v>294</v>
      </c>
      <c r="B47" s="61"/>
      <c r="C47" s="61"/>
      <c r="D47" s="61"/>
      <c r="E47" s="61"/>
      <c r="F47" s="61"/>
      <c r="G47" s="61"/>
      <c r="I47" s="61"/>
      <c r="J47" s="61"/>
    </row>
    <row r="48" spans="1:10" x14ac:dyDescent="0.2">
      <c r="B48" s="61"/>
      <c r="C48" s="61"/>
      <c r="D48" s="61"/>
      <c r="E48" s="61"/>
      <c r="F48" s="61"/>
      <c r="G48" s="61"/>
      <c r="I48" s="61"/>
      <c r="J48" s="61"/>
    </row>
    <row r="49" spans="1:10" x14ac:dyDescent="0.2">
      <c r="B49" s="61"/>
      <c r="C49" s="61"/>
      <c r="D49" s="61"/>
      <c r="E49" s="61"/>
      <c r="F49" s="61"/>
      <c r="G49" s="61"/>
      <c r="I49" s="61"/>
      <c r="J49" s="61"/>
    </row>
    <row r="50" spans="1:10" x14ac:dyDescent="0.2">
      <c r="B50" s="61"/>
      <c r="C50" s="61"/>
      <c r="D50" s="61"/>
      <c r="E50" s="61"/>
      <c r="F50" s="61"/>
      <c r="G50" s="61"/>
      <c r="I50" s="61"/>
      <c r="J50" s="61"/>
    </row>
    <row r="51" spans="1:10" x14ac:dyDescent="0.2">
      <c r="B51" s="61"/>
      <c r="C51" s="61"/>
      <c r="D51" s="61"/>
      <c r="E51" s="61"/>
      <c r="F51" s="61"/>
      <c r="G51" s="61"/>
      <c r="I51" s="61"/>
      <c r="J51" s="61"/>
    </row>
    <row r="52" spans="1:10" x14ac:dyDescent="0.2">
      <c r="B52" s="61"/>
      <c r="C52" s="61"/>
      <c r="D52" s="61"/>
      <c r="E52" s="61"/>
      <c r="F52" s="61"/>
      <c r="G52" s="61"/>
      <c r="I52" s="61"/>
      <c r="J52" s="61"/>
    </row>
    <row r="53" spans="1:10" s="1" customFormat="1" x14ac:dyDescent="0.2">
      <c r="A53" s="286" t="s">
        <v>121</v>
      </c>
      <c r="C53" s="286"/>
      <c r="D53" s="286"/>
      <c r="E53" s="286"/>
      <c r="F53" s="286"/>
      <c r="G53" s="286"/>
      <c r="I53" s="286"/>
      <c r="J53" s="286"/>
    </row>
    <row r="54" spans="1:10" x14ac:dyDescent="0.2">
      <c r="A54" s="442" t="s">
        <v>295</v>
      </c>
      <c r="B54" s="442"/>
      <c r="C54" s="442"/>
      <c r="D54" s="442"/>
      <c r="E54" s="442"/>
      <c r="F54" s="442"/>
      <c r="G54" s="442"/>
      <c r="H54" s="442"/>
      <c r="I54" s="442"/>
      <c r="J54" s="442"/>
    </row>
    <row r="55" spans="1:10" ht="29.25" customHeight="1" x14ac:dyDescent="0.2">
      <c r="A55" s="447" t="s">
        <v>321</v>
      </c>
      <c r="B55" s="447"/>
      <c r="C55" s="447"/>
      <c r="D55" s="447"/>
      <c r="E55" s="447"/>
      <c r="F55" s="447"/>
      <c r="G55" s="447"/>
      <c r="H55" s="447"/>
      <c r="I55" s="447"/>
      <c r="J55" s="447"/>
    </row>
    <row r="56" spans="1:10" ht="27.75" customHeight="1" x14ac:dyDescent="0.2">
      <c r="A56" s="446" t="s">
        <v>298</v>
      </c>
      <c r="B56" s="446"/>
      <c r="C56" s="446"/>
      <c r="D56" s="446"/>
      <c r="E56" s="446"/>
      <c r="F56" s="446"/>
      <c r="G56" s="446"/>
      <c r="H56" s="446"/>
      <c r="I56" s="446"/>
      <c r="J56" s="446"/>
    </row>
    <row r="57" spans="1:10" ht="29.25" customHeight="1" x14ac:dyDescent="0.2">
      <c r="A57" s="446" t="s">
        <v>318</v>
      </c>
      <c r="B57" s="446"/>
      <c r="C57" s="446"/>
      <c r="D57" s="446"/>
      <c r="E57" s="446"/>
      <c r="F57" s="446"/>
      <c r="G57" s="446"/>
      <c r="H57" s="446"/>
      <c r="I57" s="446"/>
      <c r="J57" s="446"/>
    </row>
    <row r="58" spans="1:10" ht="27.75" customHeight="1" x14ac:dyDescent="0.2">
      <c r="A58" s="446"/>
      <c r="B58" s="446"/>
      <c r="C58" s="446"/>
      <c r="D58" s="446"/>
      <c r="E58" s="446"/>
      <c r="F58" s="446"/>
      <c r="G58" s="446"/>
      <c r="H58" s="446"/>
      <c r="I58" s="446"/>
      <c r="J58" s="446"/>
    </row>
  </sheetData>
  <mergeCells count="6">
    <mergeCell ref="A54:J54"/>
    <mergeCell ref="D2:F2"/>
    <mergeCell ref="A58:J58"/>
    <mergeCell ref="A55:J55"/>
    <mergeCell ref="A57:J57"/>
    <mergeCell ref="A56:J56"/>
  </mergeCells>
  <phoneticPr fontId="0" type="noConversion"/>
  <conditionalFormatting sqref="J3:J20">
    <cfRule type="cellIs" dxfId="1" priority="1" stopIfTrue="1" operator="between">
      <formula>0</formula>
      <formula>-20</formula>
    </cfRule>
    <cfRule type="cellIs" dxfId="0" priority="2" stopIfTrue="1" operator="lessThan">
      <formula>-20</formula>
    </cfRule>
  </conditionalFormatting>
  <hyperlinks>
    <hyperlink ref="H42" r:id="rId1"/>
    <hyperlink ref="A33" r:id="rId2"/>
    <hyperlink ref="A47" r:id="rId3"/>
  </hyperlinks>
  <pageMargins left="0.75" right="0.75" top="1" bottom="1" header="0.5" footer="0.5"/>
  <pageSetup paperSize="9" scale="51" orientation="portrait" verticalDpi="0" r:id="rId4"/>
  <headerFooter alignWithMargins="0"/>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zoomScale="75" workbookViewId="0">
      <selection sqref="A1:K1"/>
    </sheetView>
  </sheetViews>
  <sheetFormatPr defaultRowHeight="12.75" x14ac:dyDescent="0.2"/>
  <sheetData>
    <row r="1" spans="1:11" ht="20.25" x14ac:dyDescent="0.3">
      <c r="A1" s="452" t="s">
        <v>277</v>
      </c>
      <c r="B1" s="452"/>
      <c r="C1" s="452"/>
      <c r="D1" s="452"/>
      <c r="E1" s="452"/>
      <c r="F1" s="452"/>
      <c r="G1" s="452"/>
      <c r="H1" s="452"/>
      <c r="I1" s="452"/>
      <c r="J1" s="452"/>
      <c r="K1" s="452"/>
    </row>
    <row r="2" spans="1:11" x14ac:dyDescent="0.2">
      <c r="A2" s="451" t="s">
        <v>278</v>
      </c>
      <c r="B2" s="380"/>
      <c r="C2" s="380"/>
      <c r="D2" s="380"/>
      <c r="E2" s="380"/>
      <c r="F2" s="380"/>
      <c r="G2" s="380"/>
      <c r="H2" s="380"/>
      <c r="I2" s="380"/>
      <c r="J2" s="380"/>
      <c r="K2" s="380"/>
    </row>
    <row r="3" spans="1:11" ht="15" x14ac:dyDescent="0.2">
      <c r="A3" s="450" t="s">
        <v>279</v>
      </c>
      <c r="B3" s="450"/>
      <c r="C3" s="450"/>
      <c r="D3" s="450"/>
      <c r="E3" s="450"/>
      <c r="F3" s="450"/>
      <c r="G3" s="450"/>
      <c r="H3" s="450"/>
      <c r="I3" s="450"/>
      <c r="J3" s="450"/>
      <c r="K3" s="450"/>
    </row>
    <row r="4" spans="1:11" ht="47.25" customHeight="1" x14ac:dyDescent="0.2">
      <c r="A4" s="450" t="s">
        <v>244</v>
      </c>
      <c r="B4" s="450"/>
      <c r="C4" s="450"/>
      <c r="D4" s="450"/>
      <c r="E4" s="450"/>
      <c r="F4" s="450"/>
      <c r="G4" s="450"/>
      <c r="H4" s="450"/>
      <c r="I4" s="450"/>
      <c r="J4" s="450"/>
      <c r="K4" s="450"/>
    </row>
    <row r="5" spans="1:11" ht="15" x14ac:dyDescent="0.2">
      <c r="A5" s="453" t="s">
        <v>245</v>
      </c>
      <c r="B5" s="453"/>
      <c r="C5" s="453"/>
      <c r="D5" s="453"/>
      <c r="E5" s="453"/>
      <c r="F5" s="453"/>
      <c r="G5" s="453"/>
      <c r="H5" s="453"/>
      <c r="I5" s="453"/>
      <c r="J5" s="453"/>
      <c r="K5" s="453"/>
    </row>
    <row r="6" spans="1:11" ht="15" x14ac:dyDescent="0.2">
      <c r="A6" s="453" t="s">
        <v>246</v>
      </c>
      <c r="B6" s="453"/>
      <c r="C6" s="453"/>
      <c r="D6" s="453"/>
      <c r="E6" s="453"/>
      <c r="F6" s="453"/>
      <c r="G6" s="453"/>
      <c r="H6" s="453"/>
      <c r="I6" s="453"/>
      <c r="J6" s="453"/>
      <c r="K6" s="453"/>
    </row>
    <row r="7" spans="1:11" ht="15" x14ac:dyDescent="0.2">
      <c r="A7" s="453" t="s">
        <v>247</v>
      </c>
      <c r="B7" s="453"/>
      <c r="C7" s="453"/>
      <c r="D7" s="453"/>
      <c r="E7" s="453"/>
      <c r="F7" s="453"/>
      <c r="G7" s="453"/>
      <c r="H7" s="453"/>
      <c r="I7" s="453"/>
      <c r="J7" s="453"/>
      <c r="K7" s="453"/>
    </row>
    <row r="8" spans="1:11" ht="15" x14ac:dyDescent="0.2">
      <c r="A8" s="453" t="s">
        <v>248</v>
      </c>
      <c r="B8" s="453"/>
      <c r="C8" s="453"/>
      <c r="D8" s="453"/>
      <c r="E8" s="453"/>
      <c r="F8" s="453"/>
      <c r="G8" s="453"/>
      <c r="H8" s="453"/>
      <c r="I8" s="453"/>
      <c r="J8" s="453"/>
      <c r="K8" s="453"/>
    </row>
    <row r="9" spans="1:11" ht="15" x14ac:dyDescent="0.2">
      <c r="A9" s="453" t="s">
        <v>249</v>
      </c>
      <c r="B9" s="453"/>
      <c r="C9" s="453"/>
      <c r="D9" s="453"/>
      <c r="E9" s="453"/>
      <c r="F9" s="453"/>
      <c r="G9" s="453"/>
      <c r="H9" s="453"/>
      <c r="I9" s="453"/>
      <c r="J9" s="453"/>
      <c r="K9" s="453"/>
    </row>
    <row r="10" spans="1:11" ht="15" x14ac:dyDescent="0.2">
      <c r="A10" s="453" t="s">
        <v>250</v>
      </c>
      <c r="B10" s="453"/>
      <c r="C10" s="453"/>
      <c r="D10" s="453"/>
      <c r="E10" s="453"/>
      <c r="F10" s="453"/>
      <c r="G10" s="453"/>
      <c r="H10" s="453"/>
      <c r="I10" s="453"/>
      <c r="J10" s="453"/>
      <c r="K10" s="453"/>
    </row>
    <row r="11" spans="1:11" ht="15" x14ac:dyDescent="0.2">
      <c r="A11" s="453" t="s">
        <v>251</v>
      </c>
      <c r="B11" s="453"/>
      <c r="C11" s="453"/>
      <c r="D11" s="453"/>
      <c r="E11" s="453"/>
      <c r="F11" s="453"/>
      <c r="G11" s="453"/>
      <c r="H11" s="453"/>
      <c r="I11" s="453"/>
      <c r="J11" s="453"/>
      <c r="K11" s="453"/>
    </row>
    <row r="12" spans="1:11" ht="15" x14ac:dyDescent="0.2">
      <c r="A12" s="449"/>
      <c r="B12" s="449"/>
      <c r="C12" s="449"/>
      <c r="D12" s="449"/>
      <c r="E12" s="449"/>
      <c r="F12" s="449"/>
      <c r="G12" s="449"/>
      <c r="H12" s="449"/>
      <c r="I12" s="449"/>
      <c r="J12" s="449"/>
      <c r="K12" s="449"/>
    </row>
    <row r="13" spans="1:11" ht="29.25" customHeight="1" x14ac:dyDescent="0.2">
      <c r="A13" s="450" t="s">
        <v>252</v>
      </c>
      <c r="B13" s="450"/>
      <c r="C13" s="450"/>
      <c r="D13" s="450"/>
      <c r="E13" s="450"/>
      <c r="F13" s="450"/>
      <c r="G13" s="450"/>
      <c r="H13" s="450"/>
      <c r="I13" s="450"/>
      <c r="J13" s="450"/>
      <c r="K13" s="450"/>
    </row>
    <row r="14" spans="1:11" ht="15" x14ac:dyDescent="0.2">
      <c r="A14" s="449"/>
      <c r="B14" s="449"/>
      <c r="C14" s="449"/>
      <c r="D14" s="449"/>
      <c r="E14" s="449"/>
      <c r="F14" s="449"/>
      <c r="G14" s="449"/>
      <c r="H14" s="449"/>
      <c r="I14" s="449"/>
      <c r="J14" s="449"/>
      <c r="K14" s="449"/>
    </row>
    <row r="15" spans="1:11" ht="15" x14ac:dyDescent="0.2">
      <c r="A15" s="449" t="s">
        <v>253</v>
      </c>
      <c r="B15" s="449"/>
      <c r="C15" s="449"/>
      <c r="D15" s="449"/>
      <c r="E15" s="449"/>
      <c r="F15" s="449"/>
      <c r="G15" s="449"/>
      <c r="H15" s="449"/>
      <c r="I15" s="449"/>
      <c r="J15" s="449"/>
      <c r="K15" s="449"/>
    </row>
    <row r="16" spans="1:11" ht="15" x14ac:dyDescent="0.2">
      <c r="A16" s="448" t="s">
        <v>254</v>
      </c>
      <c r="B16" s="448"/>
      <c r="C16" s="448"/>
      <c r="D16" s="448"/>
      <c r="E16" s="448"/>
      <c r="F16" s="448"/>
      <c r="G16" s="448"/>
      <c r="H16" s="448"/>
      <c r="I16" s="448"/>
      <c r="J16" s="448"/>
      <c r="K16" s="448"/>
    </row>
    <row r="17" spans="1:11" ht="15" x14ac:dyDescent="0.2">
      <c r="A17" s="448" t="s">
        <v>255</v>
      </c>
      <c r="B17" s="448"/>
      <c r="C17" s="448"/>
      <c r="D17" s="448"/>
      <c r="E17" s="448"/>
      <c r="F17" s="448"/>
      <c r="G17" s="448"/>
      <c r="H17" s="448"/>
      <c r="I17" s="448"/>
      <c r="J17" s="448"/>
      <c r="K17" s="448"/>
    </row>
    <row r="18" spans="1:11" ht="15" x14ac:dyDescent="0.2">
      <c r="A18" s="448" t="s">
        <v>256</v>
      </c>
      <c r="B18" s="448"/>
      <c r="C18" s="448"/>
      <c r="D18" s="448"/>
      <c r="E18" s="448"/>
      <c r="F18" s="448"/>
      <c r="G18" s="448"/>
      <c r="H18" s="448"/>
      <c r="I18" s="448"/>
      <c r="J18" s="448"/>
      <c r="K18" s="448"/>
    </row>
    <row r="19" spans="1:11" ht="15" x14ac:dyDescent="0.2">
      <c r="A19" s="448" t="s">
        <v>257</v>
      </c>
      <c r="B19" s="448"/>
      <c r="C19" s="448"/>
      <c r="D19" s="448"/>
      <c r="E19" s="448"/>
      <c r="F19" s="448"/>
      <c r="G19" s="448"/>
      <c r="H19" s="448"/>
      <c r="I19" s="448"/>
      <c r="J19" s="448"/>
      <c r="K19" s="448"/>
    </row>
    <row r="20" spans="1:11" ht="15" x14ac:dyDescent="0.2">
      <c r="A20" s="448" t="s">
        <v>258</v>
      </c>
      <c r="B20" s="448"/>
      <c r="C20" s="448"/>
      <c r="D20" s="448"/>
      <c r="E20" s="448"/>
      <c r="F20" s="448"/>
      <c r="G20" s="448"/>
      <c r="H20" s="448"/>
      <c r="I20" s="448"/>
      <c r="J20" s="448"/>
      <c r="K20" s="448"/>
    </row>
    <row r="21" spans="1:11" ht="15" x14ac:dyDescent="0.2">
      <c r="A21" s="448" t="s">
        <v>259</v>
      </c>
      <c r="B21" s="448"/>
      <c r="C21" s="448"/>
      <c r="D21" s="448"/>
      <c r="E21" s="448"/>
      <c r="F21" s="448"/>
      <c r="G21" s="448"/>
      <c r="H21" s="448"/>
      <c r="I21" s="448"/>
      <c r="J21" s="448"/>
      <c r="K21" s="448"/>
    </row>
    <row r="22" spans="1:11" ht="15" x14ac:dyDescent="0.2">
      <c r="A22" s="448" t="s">
        <v>260</v>
      </c>
      <c r="B22" s="448"/>
      <c r="C22" s="448"/>
      <c r="D22" s="448"/>
      <c r="E22" s="448"/>
      <c r="F22" s="448"/>
      <c r="G22" s="448"/>
      <c r="H22" s="448"/>
      <c r="I22" s="448"/>
      <c r="J22" s="448"/>
      <c r="K22" s="448"/>
    </row>
    <row r="23" spans="1:11" ht="15" x14ac:dyDescent="0.2">
      <c r="A23" s="448" t="s">
        <v>261</v>
      </c>
      <c r="B23" s="448"/>
      <c r="C23" s="448"/>
      <c r="D23" s="448"/>
      <c r="E23" s="448"/>
      <c r="F23" s="448"/>
      <c r="G23" s="448"/>
      <c r="H23" s="448"/>
      <c r="I23" s="448"/>
      <c r="J23" s="448"/>
      <c r="K23" s="448"/>
    </row>
    <row r="24" spans="1:11" ht="15" x14ac:dyDescent="0.2">
      <c r="A24" s="448" t="s">
        <v>262</v>
      </c>
      <c r="B24" s="448"/>
      <c r="C24" s="448"/>
      <c r="D24" s="448"/>
      <c r="E24" s="448"/>
      <c r="F24" s="448"/>
      <c r="G24" s="448"/>
      <c r="H24" s="448"/>
      <c r="I24" s="448"/>
      <c r="J24" s="448"/>
      <c r="K24" s="448"/>
    </row>
    <row r="25" spans="1:11" ht="15" x14ac:dyDescent="0.2">
      <c r="A25" s="448" t="s">
        <v>263</v>
      </c>
      <c r="B25" s="448"/>
      <c r="C25" s="448"/>
      <c r="D25" s="448"/>
      <c r="E25" s="448"/>
      <c r="F25" s="448"/>
      <c r="G25" s="448"/>
      <c r="H25" s="448"/>
      <c r="I25" s="448"/>
      <c r="J25" s="448"/>
      <c r="K25" s="448"/>
    </row>
    <row r="26" spans="1:11" ht="15" x14ac:dyDescent="0.2">
      <c r="A26" s="448" t="s">
        <v>264</v>
      </c>
      <c r="B26" s="448"/>
      <c r="C26" s="448"/>
      <c r="D26" s="448"/>
      <c r="E26" s="448"/>
      <c r="F26" s="448"/>
      <c r="G26" s="448"/>
      <c r="H26" s="448"/>
      <c r="I26" s="448"/>
      <c r="J26" s="448"/>
      <c r="K26" s="448"/>
    </row>
    <row r="27" spans="1:11" ht="15" x14ac:dyDescent="0.2">
      <c r="A27" s="448" t="s">
        <v>265</v>
      </c>
      <c r="B27" s="448"/>
      <c r="C27" s="448"/>
      <c r="D27" s="448"/>
      <c r="E27" s="448"/>
      <c r="F27" s="448"/>
      <c r="G27" s="448"/>
      <c r="H27" s="448"/>
      <c r="I27" s="448"/>
      <c r="J27" s="448"/>
      <c r="K27" s="448"/>
    </row>
    <row r="28" spans="1:11" ht="15" x14ac:dyDescent="0.2">
      <c r="A28" s="448" t="s">
        <v>266</v>
      </c>
      <c r="B28" s="448"/>
      <c r="C28" s="448"/>
      <c r="D28" s="448"/>
      <c r="E28" s="448"/>
      <c r="F28" s="448"/>
      <c r="G28" s="448"/>
      <c r="H28" s="448"/>
      <c r="I28" s="448"/>
      <c r="J28" s="448"/>
      <c r="K28" s="448"/>
    </row>
    <row r="29" spans="1:11" ht="15" x14ac:dyDescent="0.2">
      <c r="A29" s="448" t="s">
        <v>267</v>
      </c>
      <c r="B29" s="448"/>
      <c r="C29" s="448"/>
      <c r="D29" s="448"/>
      <c r="E29" s="448"/>
      <c r="F29" s="448"/>
      <c r="G29" s="448"/>
      <c r="H29" s="448"/>
      <c r="I29" s="448"/>
      <c r="J29" s="448"/>
      <c r="K29" s="448"/>
    </row>
    <row r="30" spans="1:11" ht="15" x14ac:dyDescent="0.2">
      <c r="A30" s="448" t="s">
        <v>268</v>
      </c>
      <c r="B30" s="448"/>
      <c r="C30" s="448"/>
      <c r="D30" s="448"/>
      <c r="E30" s="448"/>
      <c r="F30" s="448"/>
      <c r="G30" s="448"/>
      <c r="H30" s="448"/>
      <c r="I30" s="448"/>
      <c r="J30" s="448"/>
      <c r="K30" s="448"/>
    </row>
    <row r="31" spans="1:11" ht="15" x14ac:dyDescent="0.2">
      <c r="A31" s="448" t="s">
        <v>269</v>
      </c>
      <c r="B31" s="448"/>
      <c r="C31" s="448"/>
      <c r="D31" s="448"/>
      <c r="E31" s="448"/>
      <c r="F31" s="448"/>
      <c r="G31" s="448"/>
      <c r="H31" s="448"/>
      <c r="I31" s="448"/>
      <c r="J31" s="448"/>
      <c r="K31" s="448"/>
    </row>
    <row r="32" spans="1:11" ht="15" x14ac:dyDescent="0.2">
      <c r="A32" s="449"/>
      <c r="B32" s="449"/>
      <c r="C32" s="449"/>
      <c r="D32" s="449"/>
      <c r="E32" s="449"/>
      <c r="F32" s="449"/>
      <c r="G32" s="449"/>
      <c r="H32" s="449"/>
      <c r="I32" s="449"/>
      <c r="J32" s="449"/>
      <c r="K32" s="449"/>
    </row>
    <row r="33" spans="1:11" ht="46.5" customHeight="1" x14ac:dyDescent="0.2">
      <c r="A33" s="450" t="s">
        <v>270</v>
      </c>
      <c r="B33" s="450"/>
      <c r="C33" s="450"/>
      <c r="D33" s="450"/>
      <c r="E33" s="450"/>
      <c r="F33" s="450"/>
      <c r="G33" s="450"/>
      <c r="H33" s="450"/>
      <c r="I33" s="450"/>
      <c r="J33" s="450"/>
      <c r="K33" s="450"/>
    </row>
  </sheetData>
  <mergeCells count="33">
    <mergeCell ref="A2:K2"/>
    <mergeCell ref="A1:K1"/>
    <mergeCell ref="A3:K3"/>
    <mergeCell ref="A4:K4"/>
    <mergeCell ref="A24:K24"/>
    <mergeCell ref="A23:K23"/>
    <mergeCell ref="A22:K22"/>
    <mergeCell ref="A7:K7"/>
    <mergeCell ref="A6:K6"/>
    <mergeCell ref="A5:K5"/>
    <mergeCell ref="A11:K11"/>
    <mergeCell ref="A10:K10"/>
    <mergeCell ref="A9:K9"/>
    <mergeCell ref="A8:K8"/>
    <mergeCell ref="A21:K21"/>
    <mergeCell ref="A20:K20"/>
    <mergeCell ref="A33:K33"/>
    <mergeCell ref="A32:K32"/>
    <mergeCell ref="A31:K31"/>
    <mergeCell ref="A30:K30"/>
    <mergeCell ref="A29:K29"/>
    <mergeCell ref="A28:K28"/>
    <mergeCell ref="A15:K15"/>
    <mergeCell ref="A14:K14"/>
    <mergeCell ref="A12:K12"/>
    <mergeCell ref="A19:K19"/>
    <mergeCell ref="A18:K18"/>
    <mergeCell ref="A17:K17"/>
    <mergeCell ref="A16:K16"/>
    <mergeCell ref="A13:K13"/>
    <mergeCell ref="A27:K27"/>
    <mergeCell ref="A26:K26"/>
    <mergeCell ref="A25:K25"/>
  </mergeCells>
  <phoneticPr fontId="35" type="noConversion"/>
  <hyperlinks>
    <hyperlink ref="A2" r:id="rId1"/>
  </hyperlinks>
  <pageMargins left="0.75" right="0.75" top="1" bottom="1" header="0.5" footer="0.5"/>
  <pageSetup paperSize="9" scale="87" orientation="portrait" verticalDpi="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I38" sqref="I38"/>
    </sheetView>
  </sheetViews>
  <sheetFormatPr defaultRowHeight="12.75" x14ac:dyDescent="0.2"/>
  <cols>
    <col min="7" max="7" width="14.7109375" bestFit="1" customWidth="1"/>
  </cols>
  <sheetData>
    <row r="1" spans="1:11" ht="15.75" x14ac:dyDescent="0.25">
      <c r="A1" s="342" t="s">
        <v>307</v>
      </c>
      <c r="B1" s="343"/>
      <c r="C1" s="343"/>
      <c r="D1" s="343"/>
      <c r="E1" s="344"/>
      <c r="G1" s="342" t="s">
        <v>307</v>
      </c>
      <c r="H1" s="343"/>
      <c r="I1" s="343"/>
      <c r="J1" s="343"/>
      <c r="K1" s="344"/>
    </row>
    <row r="2" spans="1:11" x14ac:dyDescent="0.2">
      <c r="A2" s="319" t="s">
        <v>103</v>
      </c>
      <c r="B2" s="320" t="s">
        <v>243</v>
      </c>
      <c r="C2" s="277" t="s">
        <v>338</v>
      </c>
      <c r="D2" s="301"/>
      <c r="E2" s="318"/>
      <c r="G2" s="319" t="s">
        <v>313</v>
      </c>
      <c r="H2" s="320" t="s">
        <v>243</v>
      </c>
      <c r="I2" s="277" t="s">
        <v>338</v>
      </c>
      <c r="J2" s="301"/>
      <c r="K2" s="318"/>
    </row>
    <row r="3" spans="1:11" x14ac:dyDescent="0.2">
      <c r="A3" s="81" t="s">
        <v>104</v>
      </c>
      <c r="B3" s="41">
        <v>1</v>
      </c>
      <c r="C3" s="41">
        <v>2</v>
      </c>
      <c r="D3" s="41">
        <v>3</v>
      </c>
      <c r="E3" s="302" t="s">
        <v>24</v>
      </c>
      <c r="G3" s="81" t="s">
        <v>104</v>
      </c>
      <c r="H3" s="41">
        <v>1</v>
      </c>
      <c r="I3" s="41">
        <v>2</v>
      </c>
      <c r="J3" s="41">
        <v>3</v>
      </c>
      <c r="K3" s="302" t="s">
        <v>24</v>
      </c>
    </row>
    <row r="4" spans="1:11" x14ac:dyDescent="0.2">
      <c r="A4" s="274" t="s">
        <v>36</v>
      </c>
      <c r="B4" s="321">
        <v>1538</v>
      </c>
      <c r="C4" s="321">
        <v>1950</v>
      </c>
      <c r="D4" s="321">
        <v>2492</v>
      </c>
      <c r="E4" s="321">
        <v>2958</v>
      </c>
      <c r="G4" s="274" t="s">
        <v>36</v>
      </c>
      <c r="H4" s="321">
        <v>1300</v>
      </c>
      <c r="I4" s="321">
        <v>1603</v>
      </c>
      <c r="J4" s="321">
        <v>2058</v>
      </c>
      <c r="K4" s="321">
        <v>2600</v>
      </c>
    </row>
    <row r="5" spans="1:11" x14ac:dyDescent="0.2">
      <c r="A5" s="274" t="s">
        <v>26</v>
      </c>
      <c r="B5" s="321">
        <v>1719</v>
      </c>
      <c r="C5" s="321">
        <v>2253</v>
      </c>
      <c r="D5" s="321">
        <v>3131</v>
      </c>
      <c r="E5" s="321">
        <v>2947</v>
      </c>
      <c r="G5" s="274" t="s">
        <v>26</v>
      </c>
      <c r="H5" s="321">
        <v>1517</v>
      </c>
      <c r="I5" s="321">
        <v>1950</v>
      </c>
      <c r="J5" s="321">
        <v>2492</v>
      </c>
      <c r="K5" s="321">
        <v>2676</v>
      </c>
    </row>
    <row r="6" spans="1:11" x14ac:dyDescent="0.2">
      <c r="A6" s="274" t="s">
        <v>25</v>
      </c>
      <c r="B6" s="321">
        <v>1300</v>
      </c>
      <c r="C6" s="321">
        <v>1560</v>
      </c>
      <c r="D6" s="321">
        <v>2050</v>
      </c>
      <c r="E6" s="321">
        <v>2817</v>
      </c>
      <c r="G6" s="274" t="s">
        <v>25</v>
      </c>
      <c r="H6" s="321">
        <v>1150</v>
      </c>
      <c r="I6" s="321">
        <v>1400</v>
      </c>
      <c r="J6" s="321">
        <v>1842</v>
      </c>
      <c r="K6" s="321">
        <v>2200</v>
      </c>
    </row>
    <row r="7" spans="1:11" x14ac:dyDescent="0.2">
      <c r="A7" s="274" t="s">
        <v>30</v>
      </c>
      <c r="B7" s="321">
        <v>1517</v>
      </c>
      <c r="C7" s="321">
        <v>1798</v>
      </c>
      <c r="D7" s="321">
        <v>2589</v>
      </c>
      <c r="E7" s="321"/>
      <c r="G7" s="274" t="s">
        <v>30</v>
      </c>
      <c r="H7" s="321">
        <v>1343</v>
      </c>
      <c r="I7" s="321">
        <v>1647</v>
      </c>
      <c r="J7" s="321">
        <v>2167</v>
      </c>
      <c r="K7" s="321"/>
    </row>
    <row r="8" spans="1:11" x14ac:dyDescent="0.2">
      <c r="A8" s="274" t="s">
        <v>29</v>
      </c>
      <c r="B8" s="321">
        <v>1114</v>
      </c>
      <c r="C8" s="321">
        <v>1500</v>
      </c>
      <c r="D8" s="321">
        <v>1850</v>
      </c>
      <c r="E8" s="321">
        <v>2974</v>
      </c>
      <c r="G8" s="274" t="s">
        <v>29</v>
      </c>
      <c r="H8" s="321">
        <v>1038</v>
      </c>
      <c r="I8" s="321">
        <v>1400</v>
      </c>
      <c r="J8" s="321">
        <v>1600</v>
      </c>
      <c r="K8" s="321">
        <v>2500</v>
      </c>
    </row>
    <row r="9" spans="1:11" x14ac:dyDescent="0.2">
      <c r="A9" s="274" t="s">
        <v>28</v>
      </c>
      <c r="B9" s="321">
        <v>1484</v>
      </c>
      <c r="C9" s="321">
        <v>1820</v>
      </c>
      <c r="D9" s="321">
        <v>2496</v>
      </c>
      <c r="E9" s="321">
        <v>3586</v>
      </c>
      <c r="G9" s="274" t="s">
        <v>28</v>
      </c>
      <c r="H9" s="321">
        <v>1343</v>
      </c>
      <c r="I9" s="321">
        <v>1582</v>
      </c>
      <c r="J9" s="321">
        <v>2167</v>
      </c>
      <c r="K9" s="321">
        <v>2417</v>
      </c>
    </row>
    <row r="10" spans="1:11" x14ac:dyDescent="0.2">
      <c r="A10" s="274" t="s">
        <v>27</v>
      </c>
      <c r="B10" s="321">
        <v>1300</v>
      </c>
      <c r="C10" s="321">
        <v>1603</v>
      </c>
      <c r="D10" s="321">
        <v>1993</v>
      </c>
      <c r="E10" s="321">
        <v>2839</v>
      </c>
      <c r="G10" s="274" t="s">
        <v>27</v>
      </c>
      <c r="H10" s="321">
        <v>1231</v>
      </c>
      <c r="I10" s="321">
        <v>1473</v>
      </c>
      <c r="J10" s="321">
        <v>1950</v>
      </c>
      <c r="K10" s="321">
        <v>2625</v>
      </c>
    </row>
    <row r="11" spans="1:11" x14ac:dyDescent="0.2">
      <c r="A11" s="274" t="s">
        <v>33</v>
      </c>
      <c r="B11" s="321">
        <v>1236</v>
      </c>
      <c r="C11" s="321">
        <v>1400</v>
      </c>
      <c r="D11" s="321">
        <v>1825</v>
      </c>
      <c r="E11" s="321">
        <v>2750</v>
      </c>
      <c r="G11" s="274" t="s">
        <v>33</v>
      </c>
      <c r="H11" s="321">
        <v>1100</v>
      </c>
      <c r="I11" s="321">
        <v>1397</v>
      </c>
      <c r="J11" s="321">
        <v>1600</v>
      </c>
      <c r="K11" s="321">
        <v>2200</v>
      </c>
    </row>
    <row r="12" spans="1:11" x14ac:dyDescent="0.2">
      <c r="A12" s="274" t="s">
        <v>32</v>
      </c>
      <c r="B12" s="321">
        <v>1209</v>
      </c>
      <c r="C12" s="321">
        <v>1495</v>
      </c>
      <c r="D12" s="321">
        <v>2099</v>
      </c>
      <c r="E12" s="321">
        <v>2999</v>
      </c>
      <c r="G12" s="274" t="s">
        <v>32</v>
      </c>
      <c r="H12" s="321">
        <v>1196</v>
      </c>
      <c r="I12" s="321">
        <v>1374</v>
      </c>
      <c r="J12" s="321">
        <v>2000</v>
      </c>
      <c r="K12" s="321">
        <v>2600</v>
      </c>
    </row>
    <row r="13" spans="1:11" ht="13.5" thickBot="1" x14ac:dyDescent="0.25">
      <c r="A13" s="275" t="s">
        <v>31</v>
      </c>
      <c r="B13" s="321">
        <v>1213</v>
      </c>
      <c r="C13" s="321">
        <v>1499</v>
      </c>
      <c r="D13" s="321">
        <v>2264</v>
      </c>
      <c r="E13" s="321">
        <v>3700</v>
      </c>
      <c r="G13" s="275" t="s">
        <v>31</v>
      </c>
      <c r="H13" s="321">
        <v>1127</v>
      </c>
      <c r="I13" s="321">
        <v>1400</v>
      </c>
      <c r="J13" s="321">
        <v>1896</v>
      </c>
      <c r="K13" s="321">
        <v>3200</v>
      </c>
    </row>
    <row r="14" spans="1:11" ht="13.5" thickBot="1" x14ac:dyDescent="0.25"/>
    <row r="15" spans="1:11" ht="15.75" x14ac:dyDescent="0.25">
      <c r="A15" s="342" t="s">
        <v>301</v>
      </c>
      <c r="B15" s="343"/>
      <c r="C15" s="343"/>
      <c r="D15" s="343"/>
      <c r="E15" s="344"/>
      <c r="G15" s="342" t="s">
        <v>301</v>
      </c>
      <c r="H15" s="343"/>
      <c r="I15" s="343"/>
      <c r="J15" s="343"/>
      <c r="K15" s="344"/>
    </row>
    <row r="16" spans="1:11" x14ac:dyDescent="0.2">
      <c r="A16" s="319" t="s">
        <v>103</v>
      </c>
      <c r="B16" s="320" t="s">
        <v>243</v>
      </c>
      <c r="C16" s="277" t="s">
        <v>338</v>
      </c>
      <c r="D16" s="301"/>
      <c r="E16" s="318"/>
      <c r="G16" s="319" t="s">
        <v>313</v>
      </c>
      <c r="H16" s="320" t="s">
        <v>243</v>
      </c>
      <c r="I16" s="277" t="s">
        <v>338</v>
      </c>
      <c r="J16" s="301"/>
      <c r="K16" s="318"/>
    </row>
    <row r="17" spans="1:11" x14ac:dyDescent="0.2">
      <c r="A17" s="81" t="s">
        <v>104</v>
      </c>
      <c r="B17" s="41">
        <v>1</v>
      </c>
      <c r="C17" s="41">
        <v>2</v>
      </c>
      <c r="D17" s="41">
        <v>3</v>
      </c>
      <c r="E17" s="302" t="s">
        <v>24</v>
      </c>
      <c r="G17" s="81" t="s">
        <v>104</v>
      </c>
      <c r="H17" s="41">
        <v>1</v>
      </c>
      <c r="I17" s="41">
        <v>2</v>
      </c>
      <c r="J17" s="41">
        <v>3</v>
      </c>
      <c r="K17" s="302" t="s">
        <v>24</v>
      </c>
    </row>
    <row r="18" spans="1:11" x14ac:dyDescent="0.2">
      <c r="A18" s="274" t="s">
        <v>36</v>
      </c>
      <c r="B18" s="321">
        <f>(B4*12)/52.177</f>
        <v>353.71907162159573</v>
      </c>
      <c r="C18" s="321">
        <f t="shared" ref="C18:E18" si="0">(C4*12)/52.177</f>
        <v>448.47346531996857</v>
      </c>
      <c r="D18" s="321">
        <f t="shared" si="0"/>
        <v>573.1260900396727</v>
      </c>
      <c r="E18" s="321">
        <f t="shared" si="0"/>
        <v>680.29974893152155</v>
      </c>
      <c r="G18" s="274" t="s">
        <v>36</v>
      </c>
      <c r="H18" s="321">
        <f>(H4*12)/52.177</f>
        <v>298.98231021331236</v>
      </c>
      <c r="I18" s="321">
        <f t="shared" ref="I18:K18" si="1">(I4*12)/52.177</f>
        <v>368.66818713226132</v>
      </c>
      <c r="J18" s="321">
        <f t="shared" si="1"/>
        <v>473.3119957069207</v>
      </c>
      <c r="K18" s="321">
        <f t="shared" si="1"/>
        <v>597.96462042662472</v>
      </c>
    </row>
    <row r="19" spans="1:11" x14ac:dyDescent="0.2">
      <c r="A19" s="274" t="s">
        <v>26</v>
      </c>
      <c r="B19" s="321">
        <f t="shared" ref="B19:E27" si="2">(B5*12)/52.177</f>
        <v>395.34660865898769</v>
      </c>
      <c r="C19" s="321">
        <f t="shared" si="2"/>
        <v>518.15934223891759</v>
      </c>
      <c r="D19" s="321">
        <f t="shared" si="2"/>
        <v>720.08739482913927</v>
      </c>
      <c r="E19" s="321">
        <f t="shared" si="2"/>
        <v>677.76989861433196</v>
      </c>
      <c r="G19" s="274" t="s">
        <v>26</v>
      </c>
      <c r="H19" s="321">
        <f t="shared" ref="H19:K19" si="3">(H5*12)/52.177</f>
        <v>348.88935737968836</v>
      </c>
      <c r="I19" s="321">
        <f t="shared" si="3"/>
        <v>448.47346531996857</v>
      </c>
      <c r="J19" s="321">
        <f t="shared" si="3"/>
        <v>573.1260900396727</v>
      </c>
      <c r="K19" s="321">
        <f t="shared" si="3"/>
        <v>615.4435862544799</v>
      </c>
    </row>
    <row r="20" spans="1:11" x14ac:dyDescent="0.2">
      <c r="A20" s="274" t="s">
        <v>25</v>
      </c>
      <c r="B20" s="321">
        <f t="shared" si="2"/>
        <v>298.98231021331236</v>
      </c>
      <c r="C20" s="321">
        <f t="shared" si="2"/>
        <v>358.77877225597484</v>
      </c>
      <c r="D20" s="321">
        <f t="shared" si="2"/>
        <v>471.47210456714646</v>
      </c>
      <c r="E20" s="321">
        <f t="shared" si="2"/>
        <v>647.87166759300078</v>
      </c>
      <c r="G20" s="274" t="s">
        <v>25</v>
      </c>
      <c r="H20" s="321">
        <f t="shared" ref="H20:K20" si="4">(H6*12)/52.177</f>
        <v>264.48435134254555</v>
      </c>
      <c r="I20" s="321">
        <f t="shared" si="4"/>
        <v>321.98094946049025</v>
      </c>
      <c r="J20" s="321">
        <f t="shared" si="4"/>
        <v>423.63493493301644</v>
      </c>
      <c r="K20" s="321">
        <f t="shared" si="4"/>
        <v>505.97006343791327</v>
      </c>
    </row>
    <row r="21" spans="1:11" x14ac:dyDescent="0.2">
      <c r="A21" s="274" t="s">
        <v>30</v>
      </c>
      <c r="B21" s="321">
        <f t="shared" si="2"/>
        <v>348.88935737968836</v>
      </c>
      <c r="C21" s="321">
        <f t="shared" si="2"/>
        <v>413.51553366425821</v>
      </c>
      <c r="D21" s="321">
        <f t="shared" si="2"/>
        <v>595.43477010943525</v>
      </c>
      <c r="E21" s="321">
        <f t="shared" si="2"/>
        <v>0</v>
      </c>
      <c r="G21" s="274" t="s">
        <v>30</v>
      </c>
      <c r="H21" s="321">
        <f t="shared" ref="H21:K21" si="5">(H7*12)/52.177</f>
        <v>308.87172508959884</v>
      </c>
      <c r="I21" s="321">
        <f t="shared" si="5"/>
        <v>378.7875884010196</v>
      </c>
      <c r="J21" s="321">
        <f t="shared" si="5"/>
        <v>498.38051248634457</v>
      </c>
      <c r="K21" s="321">
        <f t="shared" si="5"/>
        <v>0</v>
      </c>
    </row>
    <row r="22" spans="1:11" x14ac:dyDescent="0.2">
      <c r="A22" s="274" t="s">
        <v>29</v>
      </c>
      <c r="B22" s="321">
        <f t="shared" si="2"/>
        <v>256.20484121356151</v>
      </c>
      <c r="C22" s="321">
        <f t="shared" si="2"/>
        <v>344.97958870766814</v>
      </c>
      <c r="D22" s="321">
        <f t="shared" si="2"/>
        <v>425.47482607279068</v>
      </c>
      <c r="E22" s="321">
        <f t="shared" si="2"/>
        <v>683.97953121107003</v>
      </c>
      <c r="G22" s="274" t="s">
        <v>29</v>
      </c>
      <c r="H22" s="321">
        <f t="shared" ref="H22:K22" si="6">(H8*12)/52.177</f>
        <v>238.72587538570636</v>
      </c>
      <c r="I22" s="321">
        <f t="shared" si="6"/>
        <v>321.98094946049025</v>
      </c>
      <c r="J22" s="321">
        <f t="shared" si="6"/>
        <v>367.97822795484603</v>
      </c>
      <c r="K22" s="321">
        <f t="shared" si="6"/>
        <v>574.96598117944689</v>
      </c>
    </row>
    <row r="23" spans="1:11" x14ac:dyDescent="0.2">
      <c r="A23" s="274" t="s">
        <v>28</v>
      </c>
      <c r="B23" s="321">
        <f t="shared" si="2"/>
        <v>341.29980642811967</v>
      </c>
      <c r="C23" s="321">
        <f t="shared" si="2"/>
        <v>418.57523429863733</v>
      </c>
      <c r="D23" s="321">
        <f t="shared" si="2"/>
        <v>574.04603560955979</v>
      </c>
      <c r="E23" s="321">
        <f t="shared" si="2"/>
        <v>824.73120340379865</v>
      </c>
      <c r="G23" s="274" t="s">
        <v>28</v>
      </c>
      <c r="H23" s="321">
        <f t="shared" ref="H23:K23" si="7">(H9*12)/52.177</f>
        <v>308.87172508959884</v>
      </c>
      <c r="I23" s="321">
        <f t="shared" si="7"/>
        <v>363.83847289035401</v>
      </c>
      <c r="J23" s="321">
        <f t="shared" si="7"/>
        <v>498.38051248634457</v>
      </c>
      <c r="K23" s="321">
        <f t="shared" si="7"/>
        <v>555.87711060428921</v>
      </c>
    </row>
    <row r="24" spans="1:11" x14ac:dyDescent="0.2">
      <c r="A24" s="274" t="s">
        <v>27</v>
      </c>
      <c r="B24" s="321">
        <f t="shared" si="2"/>
        <v>298.98231021331236</v>
      </c>
      <c r="C24" s="321">
        <f t="shared" si="2"/>
        <v>368.66818713226132</v>
      </c>
      <c r="D24" s="321">
        <f t="shared" si="2"/>
        <v>458.36288019625505</v>
      </c>
      <c r="E24" s="321">
        <f t="shared" si="2"/>
        <v>652.93136822737983</v>
      </c>
      <c r="G24" s="274" t="s">
        <v>27</v>
      </c>
      <c r="H24" s="321">
        <f t="shared" ref="H24:K24" si="8">(H10*12)/52.177</f>
        <v>283.11324913275962</v>
      </c>
      <c r="I24" s="321">
        <f t="shared" si="8"/>
        <v>338.76995611093008</v>
      </c>
      <c r="J24" s="321">
        <f t="shared" si="8"/>
        <v>448.47346531996857</v>
      </c>
      <c r="K24" s="321">
        <f t="shared" si="8"/>
        <v>603.71428023841918</v>
      </c>
    </row>
    <row r="25" spans="1:11" x14ac:dyDescent="0.2">
      <c r="A25" s="274" t="s">
        <v>33</v>
      </c>
      <c r="B25" s="321">
        <f t="shared" si="2"/>
        <v>284.26318109511857</v>
      </c>
      <c r="C25" s="321">
        <f t="shared" si="2"/>
        <v>321.98094946049025</v>
      </c>
      <c r="D25" s="321">
        <f t="shared" si="2"/>
        <v>419.72516626099622</v>
      </c>
      <c r="E25" s="321">
        <f t="shared" si="2"/>
        <v>632.46257929739158</v>
      </c>
      <c r="G25" s="274" t="s">
        <v>33</v>
      </c>
      <c r="H25" s="321">
        <f t="shared" ref="H25:K25" si="9">(H11*12)/52.177</f>
        <v>252.98503171895663</v>
      </c>
      <c r="I25" s="321">
        <f t="shared" si="9"/>
        <v>321.2909902830749</v>
      </c>
      <c r="J25" s="321">
        <f t="shared" si="9"/>
        <v>367.97822795484603</v>
      </c>
      <c r="K25" s="321">
        <f t="shared" si="9"/>
        <v>505.97006343791327</v>
      </c>
    </row>
    <row r="26" spans="1:11" x14ac:dyDescent="0.2">
      <c r="A26" s="274" t="s">
        <v>32</v>
      </c>
      <c r="B26" s="321">
        <f t="shared" si="2"/>
        <v>278.05354849838051</v>
      </c>
      <c r="C26" s="321">
        <f t="shared" si="2"/>
        <v>343.82965674530925</v>
      </c>
      <c r="D26" s="321">
        <f t="shared" si="2"/>
        <v>482.74143779826363</v>
      </c>
      <c r="E26" s="321">
        <f t="shared" si="2"/>
        <v>689.72919102286448</v>
      </c>
      <c r="G26" s="274" t="s">
        <v>32</v>
      </c>
      <c r="H26" s="321">
        <f t="shared" ref="H26:K26" si="10">(H12*12)/52.177</f>
        <v>275.06372539624738</v>
      </c>
      <c r="I26" s="321">
        <f t="shared" si="10"/>
        <v>316.00130325622399</v>
      </c>
      <c r="J26" s="321">
        <f t="shared" si="10"/>
        <v>459.97278494355749</v>
      </c>
      <c r="K26" s="321">
        <f t="shared" si="10"/>
        <v>597.96462042662472</v>
      </c>
    </row>
    <row r="27" spans="1:11" ht="13.5" thickBot="1" x14ac:dyDescent="0.25">
      <c r="A27" s="275" t="s">
        <v>31</v>
      </c>
      <c r="B27" s="321">
        <f t="shared" si="2"/>
        <v>278.97349406826766</v>
      </c>
      <c r="C27" s="321">
        <f t="shared" si="2"/>
        <v>344.74960231519634</v>
      </c>
      <c r="D27" s="321">
        <f t="shared" si="2"/>
        <v>520.68919255610706</v>
      </c>
      <c r="E27" s="321">
        <f t="shared" si="2"/>
        <v>850.94965214558135</v>
      </c>
      <c r="G27" s="275" t="s">
        <v>31</v>
      </c>
      <c r="H27" s="321">
        <f t="shared" ref="H27:K27" si="11">(H13*12)/52.177</f>
        <v>259.19466431569464</v>
      </c>
      <c r="I27" s="321">
        <f t="shared" si="11"/>
        <v>321.98094946049025</v>
      </c>
      <c r="J27" s="321">
        <f t="shared" si="11"/>
        <v>436.0542001264925</v>
      </c>
      <c r="K27" s="321">
        <f t="shared" si="11"/>
        <v>735.95645590969207</v>
      </c>
    </row>
  </sheetData>
  <mergeCells count="4">
    <mergeCell ref="A1:E1"/>
    <mergeCell ref="G1:K1"/>
    <mergeCell ref="A15:E15"/>
    <mergeCell ref="G15:K15"/>
  </mergeCells>
  <phoneticPr fontId="35"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V54"/>
  <sheetViews>
    <sheetView view="pageBreakPreview" zoomScale="75" zoomScaleNormal="100" workbookViewId="0">
      <selection activeCell="B8" sqref="B8:E17"/>
    </sheetView>
  </sheetViews>
  <sheetFormatPr defaultRowHeight="12.75" x14ac:dyDescent="0.2"/>
  <cols>
    <col min="1" max="1" width="23.140625" style="67" customWidth="1"/>
    <col min="2" max="2" width="10" style="67" customWidth="1"/>
    <col min="3" max="3" width="10.42578125" style="67" customWidth="1"/>
    <col min="4" max="5" width="10.28515625" style="67" customWidth="1"/>
    <col min="6" max="6" width="10.140625" style="67" customWidth="1"/>
    <col min="7" max="7" width="13.7109375" style="67" customWidth="1"/>
    <col min="8" max="8" width="9" style="67" bestFit="1" customWidth="1"/>
    <col min="13" max="13" width="13.7109375" customWidth="1"/>
    <col min="14" max="14" width="11.28515625" customWidth="1"/>
    <col min="15" max="15" width="12.5703125" customWidth="1"/>
    <col min="16" max="16" width="12.7109375" customWidth="1"/>
  </cols>
  <sheetData>
    <row r="1" spans="1:14" ht="20.25" x14ac:dyDescent="0.3">
      <c r="A1" s="156" t="s">
        <v>339</v>
      </c>
      <c r="B1" s="157"/>
      <c r="C1" s="157"/>
      <c r="D1" s="157"/>
      <c r="E1" s="157"/>
      <c r="F1" s="157"/>
      <c r="G1" s="157"/>
      <c r="H1" s="215"/>
    </row>
    <row r="2" spans="1:14" ht="15" customHeight="1" x14ac:dyDescent="0.2">
      <c r="A2" s="350" t="s">
        <v>211</v>
      </c>
      <c r="B2" s="351"/>
      <c r="C2" s="351"/>
      <c r="D2" s="351"/>
      <c r="E2" s="351"/>
      <c r="F2" s="351"/>
      <c r="G2" s="351"/>
      <c r="H2" s="352"/>
    </row>
    <row r="3" spans="1:14" ht="15" customHeight="1" x14ac:dyDescent="0.2">
      <c r="A3" s="350"/>
      <c r="B3" s="351"/>
      <c r="C3" s="351"/>
      <c r="D3" s="351"/>
      <c r="E3" s="351"/>
      <c r="F3" s="351"/>
      <c r="G3" s="351"/>
      <c r="H3" s="352"/>
      <c r="J3" s="64"/>
      <c r="K3" s="64"/>
      <c r="L3" s="64"/>
      <c r="M3" s="64"/>
      <c r="N3" s="64"/>
    </row>
    <row r="4" spans="1:14" ht="13.5" thickBot="1" x14ac:dyDescent="0.25">
      <c r="A4" s="158"/>
      <c r="B4" s="159"/>
      <c r="C4" s="159"/>
      <c r="D4" s="159"/>
      <c r="E4" s="159"/>
      <c r="F4" s="159"/>
      <c r="G4" s="159"/>
      <c r="H4" s="216"/>
      <c r="J4" s="64"/>
      <c r="K4" s="64"/>
      <c r="L4" s="64"/>
      <c r="M4" s="64"/>
      <c r="N4" s="64"/>
    </row>
    <row r="5" spans="1:14" ht="15.75" x14ac:dyDescent="0.25">
      <c r="A5" s="342" t="s">
        <v>301</v>
      </c>
      <c r="B5" s="343"/>
      <c r="C5" s="343"/>
      <c r="D5" s="343"/>
      <c r="E5" s="344"/>
      <c r="F5" s="163"/>
      <c r="G5" s="353"/>
      <c r="H5" s="216"/>
      <c r="J5" s="64"/>
      <c r="K5" s="64"/>
      <c r="L5" s="64"/>
      <c r="M5" s="64"/>
      <c r="N5" s="64"/>
    </row>
    <row r="6" spans="1:14" x14ac:dyDescent="0.2">
      <c r="A6" s="319" t="s">
        <v>103</v>
      </c>
      <c r="B6" s="320" t="s">
        <v>243</v>
      </c>
      <c r="C6" s="277" t="s">
        <v>338</v>
      </c>
      <c r="D6" s="301"/>
      <c r="E6" s="318"/>
      <c r="F6" s="159"/>
      <c r="G6" s="354"/>
      <c r="H6" s="216"/>
      <c r="J6" s="64"/>
      <c r="K6" s="64"/>
      <c r="L6" s="64"/>
      <c r="M6" s="64"/>
      <c r="N6" s="64"/>
    </row>
    <row r="7" spans="1:14" x14ac:dyDescent="0.2">
      <c r="A7" s="81" t="s">
        <v>104</v>
      </c>
      <c r="B7" s="41">
        <v>1</v>
      </c>
      <c r="C7" s="41">
        <v>2</v>
      </c>
      <c r="D7" s="41">
        <v>3</v>
      </c>
      <c r="E7" s="302" t="s">
        <v>24</v>
      </c>
      <c r="F7" s="159"/>
      <c r="G7" s="197" t="s">
        <v>15</v>
      </c>
      <c r="H7" s="216"/>
      <c r="J7" s="64"/>
      <c r="K7" s="64"/>
      <c r="L7" s="64"/>
      <c r="M7" s="64"/>
      <c r="N7" s="64"/>
    </row>
    <row r="8" spans="1:14" x14ac:dyDescent="0.2">
      <c r="A8" s="274" t="s">
        <v>36</v>
      </c>
      <c r="B8" s="329">
        <f>'Rent data'!B18</f>
        <v>353.71907162159573</v>
      </c>
      <c r="C8" s="329">
        <f>'Rent data'!C18</f>
        <v>448.47346531996857</v>
      </c>
      <c r="D8" s="329">
        <f>'Rent data'!D18</f>
        <v>573.1260900396727</v>
      </c>
      <c r="E8" s="329">
        <f>'Rent data'!E18</f>
        <v>680.29974893152155</v>
      </c>
      <c r="F8" s="198" t="s">
        <v>20</v>
      </c>
      <c r="G8" s="117" t="s">
        <v>36</v>
      </c>
      <c r="H8" s="216"/>
      <c r="J8" s="64"/>
      <c r="K8" s="323"/>
      <c r="L8" s="323"/>
      <c r="M8" s="323"/>
      <c r="N8" s="323"/>
    </row>
    <row r="9" spans="1:14" x14ac:dyDescent="0.2">
      <c r="A9" s="274" t="s">
        <v>26</v>
      </c>
      <c r="B9" s="329">
        <f>'Rent data'!B19</f>
        <v>395.34660865898769</v>
      </c>
      <c r="C9" s="329">
        <f>'Rent data'!C19</f>
        <v>518.15934223891759</v>
      </c>
      <c r="D9" s="329">
        <f>'Rent data'!D19</f>
        <v>720.08739482913927</v>
      </c>
      <c r="E9" s="329">
        <f>'Rent data'!E19</f>
        <v>677.76989861433196</v>
      </c>
      <c r="F9" s="198" t="s">
        <v>20</v>
      </c>
      <c r="G9" s="117" t="s">
        <v>19</v>
      </c>
      <c r="H9" s="216"/>
      <c r="J9" s="64"/>
      <c r="K9" s="323"/>
      <c r="L9" s="323"/>
      <c r="M9" s="323"/>
      <c r="N9" s="323"/>
    </row>
    <row r="10" spans="1:14" x14ac:dyDescent="0.2">
      <c r="A10" s="274" t="s">
        <v>25</v>
      </c>
      <c r="B10" s="329">
        <f>'Rent data'!B20</f>
        <v>298.98231021331236</v>
      </c>
      <c r="C10" s="329">
        <f>'Rent data'!C20</f>
        <v>358.77877225597484</v>
      </c>
      <c r="D10" s="329">
        <f>'Rent data'!D20</f>
        <v>471.47210456714646</v>
      </c>
      <c r="E10" s="329">
        <f>'Rent data'!E20</f>
        <v>647.87166759300078</v>
      </c>
      <c r="F10" s="198" t="s">
        <v>20</v>
      </c>
      <c r="G10" s="117" t="s">
        <v>96</v>
      </c>
      <c r="H10" s="216"/>
      <c r="J10" s="64"/>
      <c r="K10" s="323"/>
      <c r="L10" s="323"/>
      <c r="M10" s="323"/>
      <c r="N10" s="323"/>
    </row>
    <row r="11" spans="1:14" x14ac:dyDescent="0.2">
      <c r="A11" s="274" t="s">
        <v>30</v>
      </c>
      <c r="B11" s="329">
        <f>'Rent data'!B21</f>
        <v>348.88935737968836</v>
      </c>
      <c r="C11" s="329">
        <f>'Rent data'!C21</f>
        <v>413.51553366425821</v>
      </c>
      <c r="D11" s="329">
        <f>'Rent data'!D21</f>
        <v>595.43477010943525</v>
      </c>
      <c r="E11" s="329">
        <f>'Rent data'!E21</f>
        <v>0</v>
      </c>
      <c r="F11" s="198" t="s">
        <v>20</v>
      </c>
      <c r="G11" s="117" t="s">
        <v>16</v>
      </c>
      <c r="H11" s="216"/>
      <c r="J11" s="64"/>
      <c r="K11" s="323"/>
      <c r="L11" s="323"/>
      <c r="M11" s="323"/>
      <c r="N11" s="323"/>
    </row>
    <row r="12" spans="1:14" x14ac:dyDescent="0.2">
      <c r="A12" s="274" t="s">
        <v>29</v>
      </c>
      <c r="B12" s="329">
        <f>'Rent data'!B22</f>
        <v>256.20484121356151</v>
      </c>
      <c r="C12" s="329">
        <f>'Rent data'!C22</f>
        <v>344.97958870766814</v>
      </c>
      <c r="D12" s="329">
        <f>'Rent data'!D22</f>
        <v>425.47482607279068</v>
      </c>
      <c r="E12" s="329">
        <f>'Rent data'!E22</f>
        <v>683.97953121107003</v>
      </c>
      <c r="F12" s="198" t="s">
        <v>20</v>
      </c>
      <c r="G12" s="117" t="s">
        <v>99</v>
      </c>
      <c r="H12" s="216"/>
      <c r="J12" s="64"/>
      <c r="K12" s="323"/>
      <c r="L12" s="323"/>
      <c r="M12" s="323"/>
      <c r="N12" s="323"/>
    </row>
    <row r="13" spans="1:14" x14ac:dyDescent="0.2">
      <c r="A13" s="274" t="s">
        <v>28</v>
      </c>
      <c r="B13" s="329">
        <f>'Rent data'!B23</f>
        <v>341.29980642811967</v>
      </c>
      <c r="C13" s="329">
        <f>'Rent data'!C23</f>
        <v>418.57523429863733</v>
      </c>
      <c r="D13" s="329">
        <f>'Rent data'!D23</f>
        <v>574.04603560955979</v>
      </c>
      <c r="E13" s="329">
        <f>'Rent data'!E23</f>
        <v>824.73120340379865</v>
      </c>
      <c r="F13" s="198" t="s">
        <v>20</v>
      </c>
      <c r="G13" s="117" t="s">
        <v>100</v>
      </c>
      <c r="H13" s="216"/>
      <c r="J13" s="64"/>
      <c r="K13" s="323"/>
      <c r="L13" s="323"/>
      <c r="M13" s="323"/>
      <c r="N13" s="323"/>
    </row>
    <row r="14" spans="1:14" x14ac:dyDescent="0.2">
      <c r="A14" s="274" t="s">
        <v>27</v>
      </c>
      <c r="B14" s="329">
        <f>'Rent data'!B24</f>
        <v>298.98231021331236</v>
      </c>
      <c r="C14" s="329">
        <f>'Rent data'!C24</f>
        <v>368.66818713226132</v>
      </c>
      <c r="D14" s="329">
        <f>'Rent data'!D24</f>
        <v>458.36288019625505</v>
      </c>
      <c r="E14" s="329">
        <f>'Rent data'!E24</f>
        <v>652.93136822737983</v>
      </c>
      <c r="F14" s="198" t="s">
        <v>20</v>
      </c>
      <c r="G14" s="117" t="s">
        <v>101</v>
      </c>
      <c r="H14" s="216"/>
      <c r="J14" s="64"/>
      <c r="K14" s="323"/>
      <c r="L14" s="323"/>
      <c r="M14" s="323"/>
      <c r="N14" s="323"/>
    </row>
    <row r="15" spans="1:14" x14ac:dyDescent="0.2">
      <c r="A15" s="274" t="s">
        <v>33</v>
      </c>
      <c r="B15" s="329">
        <f>'Rent data'!B25</f>
        <v>284.26318109511857</v>
      </c>
      <c r="C15" s="329">
        <f>'Rent data'!C25</f>
        <v>321.98094946049025</v>
      </c>
      <c r="D15" s="329">
        <f>'Rent data'!D25</f>
        <v>419.72516626099622</v>
      </c>
      <c r="E15" s="329">
        <f>'Rent data'!E25</f>
        <v>632.46257929739158</v>
      </c>
      <c r="F15" s="198" t="s">
        <v>20</v>
      </c>
      <c r="G15" s="117" t="s">
        <v>97</v>
      </c>
      <c r="H15" s="216"/>
      <c r="J15" s="64"/>
      <c r="K15" s="323"/>
      <c r="L15" s="323"/>
      <c r="M15" s="323"/>
      <c r="N15" s="323"/>
    </row>
    <row r="16" spans="1:14" x14ac:dyDescent="0.2">
      <c r="A16" s="274" t="s">
        <v>32</v>
      </c>
      <c r="B16" s="329">
        <f>'Rent data'!B26</f>
        <v>278.05354849838051</v>
      </c>
      <c r="C16" s="329">
        <f>'Rent data'!C26</f>
        <v>343.82965674530925</v>
      </c>
      <c r="D16" s="329">
        <f>'Rent data'!D26</f>
        <v>482.74143779826363</v>
      </c>
      <c r="E16" s="329">
        <f>'Rent data'!E26</f>
        <v>689.72919102286448</v>
      </c>
      <c r="F16" s="198" t="s">
        <v>20</v>
      </c>
      <c r="G16" s="117" t="s">
        <v>17</v>
      </c>
      <c r="H16" s="216"/>
      <c r="J16" s="64"/>
      <c r="K16" s="323"/>
      <c r="L16" s="323"/>
      <c r="M16" s="323"/>
      <c r="N16" s="323"/>
    </row>
    <row r="17" spans="1:22" ht="13.5" thickBot="1" x14ac:dyDescent="0.25">
      <c r="A17" s="275" t="s">
        <v>31</v>
      </c>
      <c r="B17" s="329">
        <f>'Rent data'!B27</f>
        <v>278.97349406826766</v>
      </c>
      <c r="C17" s="329">
        <f>'Rent data'!C27</f>
        <v>344.74960231519634</v>
      </c>
      <c r="D17" s="329">
        <f>'Rent data'!D27</f>
        <v>520.68919255610706</v>
      </c>
      <c r="E17" s="329">
        <f>'Rent data'!E27</f>
        <v>850.94965214558135</v>
      </c>
      <c r="F17" s="198" t="s">
        <v>20</v>
      </c>
      <c r="G17" s="117" t="s">
        <v>18</v>
      </c>
      <c r="H17" s="216"/>
      <c r="J17" s="64"/>
      <c r="K17" s="323"/>
      <c r="L17" s="323"/>
      <c r="M17" s="323"/>
      <c r="N17" s="323"/>
    </row>
    <row r="18" spans="1:22" x14ac:dyDescent="0.2">
      <c r="A18" s="212" t="s">
        <v>242</v>
      </c>
      <c r="B18" s="213"/>
      <c r="C18" s="213"/>
      <c r="D18" s="213"/>
      <c r="E18" s="213"/>
      <c r="F18" s="198"/>
      <c r="G18" s="10"/>
      <c r="H18" s="216"/>
      <c r="J18" s="64"/>
      <c r="K18" s="64"/>
      <c r="L18" s="64"/>
      <c r="M18" s="64"/>
      <c r="N18" s="64"/>
    </row>
    <row r="19" spans="1:22" ht="13.5" thickBot="1" x14ac:dyDescent="0.25">
      <c r="A19" s="158"/>
      <c r="B19" s="159"/>
      <c r="C19" s="159"/>
      <c r="D19" s="159"/>
      <c r="E19" s="159"/>
      <c r="F19" s="159"/>
      <c r="G19" s="159"/>
      <c r="H19" s="216"/>
      <c r="J19" s="64"/>
      <c r="K19" s="64"/>
      <c r="L19" s="64"/>
      <c r="M19" s="326"/>
      <c r="N19" s="326"/>
      <c r="O19" s="327"/>
      <c r="P19" s="327"/>
    </row>
    <row r="20" spans="1:22" ht="13.5" thickBot="1" x14ac:dyDescent="0.25">
      <c r="A20" s="273" t="s">
        <v>317</v>
      </c>
      <c r="B20" s="347" t="s">
        <v>227</v>
      </c>
      <c r="C20" s="348"/>
      <c r="D20" s="348"/>
      <c r="E20" s="349"/>
      <c r="F20" s="159"/>
      <c r="G20" s="357"/>
      <c r="H20" s="357"/>
      <c r="J20" s="64"/>
      <c r="K20" s="64"/>
      <c r="L20" s="64"/>
      <c r="M20" s="326"/>
      <c r="N20" s="326"/>
      <c r="O20" s="327"/>
      <c r="P20" s="327"/>
    </row>
    <row r="21" spans="1:22" x14ac:dyDescent="0.2">
      <c r="A21" s="161"/>
      <c r="B21" s="283" t="s">
        <v>116</v>
      </c>
      <c r="C21" s="283" t="s">
        <v>117</v>
      </c>
      <c r="D21" s="283" t="s">
        <v>118</v>
      </c>
      <c r="E21" s="283" t="s">
        <v>119</v>
      </c>
      <c r="F21" s="159"/>
      <c r="G21" s="159"/>
      <c r="H21" s="216"/>
      <c r="J21" s="324"/>
      <c r="K21" s="64"/>
      <c r="L21" s="64"/>
      <c r="M21" s="64"/>
      <c r="N21" s="64"/>
    </row>
    <row r="22" spans="1:22" x14ac:dyDescent="0.2">
      <c r="A22" s="162" t="s">
        <v>105</v>
      </c>
      <c r="B22" s="174">
        <v>196.23</v>
      </c>
      <c r="C22" s="174">
        <v>255.09</v>
      </c>
      <c r="D22" s="174">
        <v>318</v>
      </c>
      <c r="E22" s="174">
        <v>412.89</v>
      </c>
      <c r="F22" s="159"/>
      <c r="G22" s="159"/>
      <c r="H22" s="216"/>
      <c r="J22" s="268"/>
      <c r="M22" s="328"/>
      <c r="N22" s="328"/>
      <c r="O22" s="328"/>
      <c r="P22" s="328"/>
    </row>
    <row r="23" spans="1:22" x14ac:dyDescent="0.2">
      <c r="A23" s="162" t="s">
        <v>106</v>
      </c>
      <c r="B23" s="174">
        <v>853.22439249999991</v>
      </c>
      <c r="C23" s="174">
        <v>1109.1525775</v>
      </c>
      <c r="D23" s="174">
        <v>1382.6904999999999</v>
      </c>
      <c r="E23" s="174">
        <v>1795.2801274999999</v>
      </c>
      <c r="F23" s="159"/>
      <c r="G23" s="159"/>
      <c r="H23" s="216"/>
      <c r="J23" s="272"/>
      <c r="M23" s="43"/>
      <c r="N23" s="43"/>
      <c r="O23" s="43"/>
      <c r="P23" s="43"/>
    </row>
    <row r="24" spans="1:22" x14ac:dyDescent="0.2">
      <c r="A24" s="160" t="s">
        <v>107</v>
      </c>
      <c r="B24" s="159"/>
      <c r="C24" s="159"/>
      <c r="D24" s="159"/>
      <c r="E24" s="159"/>
      <c r="F24" s="159"/>
      <c r="G24" s="159"/>
      <c r="H24" s="216"/>
      <c r="J24" s="268"/>
    </row>
    <row r="25" spans="1:22" x14ac:dyDescent="0.2">
      <c r="A25" s="160"/>
      <c r="B25" s="159"/>
      <c r="C25" s="159"/>
      <c r="D25" s="159"/>
      <c r="E25" s="159"/>
      <c r="F25" s="159"/>
      <c r="G25" s="159"/>
      <c r="H25" s="216"/>
      <c r="J25" s="272"/>
      <c r="N25" s="325"/>
      <c r="O25" s="268"/>
      <c r="Q25" s="268"/>
      <c r="S25" s="268"/>
      <c r="U25" s="268"/>
    </row>
    <row r="26" spans="1:22" x14ac:dyDescent="0.2">
      <c r="A26" s="9" t="s">
        <v>228</v>
      </c>
      <c r="B26" s="159"/>
      <c r="C26" s="159"/>
      <c r="D26" s="159"/>
      <c r="E26" s="159"/>
      <c r="F26" s="159"/>
      <c r="G26" s="159"/>
      <c r="H26" s="216"/>
      <c r="J26" s="268"/>
    </row>
    <row r="27" spans="1:22" ht="36" x14ac:dyDescent="0.2">
      <c r="A27" s="184" t="s">
        <v>36</v>
      </c>
      <c r="B27" s="185" t="s">
        <v>42</v>
      </c>
      <c r="C27" s="185" t="s">
        <v>43</v>
      </c>
      <c r="D27" s="185" t="s">
        <v>44</v>
      </c>
      <c r="E27" s="185" t="s">
        <v>45</v>
      </c>
      <c r="F27" s="185" t="s">
        <v>46</v>
      </c>
      <c r="G27" s="185" t="s">
        <v>47</v>
      </c>
      <c r="H27" s="217" t="s">
        <v>48</v>
      </c>
      <c r="J27" s="272"/>
      <c r="S27" s="322"/>
      <c r="T27" s="322"/>
      <c r="U27" s="322"/>
      <c r="V27" s="322"/>
    </row>
    <row r="28" spans="1:22" x14ac:dyDescent="0.2">
      <c r="A28" s="186" t="s">
        <v>217</v>
      </c>
      <c r="B28" s="187">
        <v>96.88</v>
      </c>
      <c r="C28" s="187">
        <v>110.76</v>
      </c>
      <c r="D28" s="187">
        <v>124.18</v>
      </c>
      <c r="E28" s="187">
        <v>139.69</v>
      </c>
      <c r="F28" s="187">
        <v>149.30000000000001</v>
      </c>
      <c r="G28" s="187">
        <v>159.87</v>
      </c>
      <c r="H28" s="218">
        <v>110.98</v>
      </c>
      <c r="J28" s="268"/>
      <c r="S28" s="322"/>
      <c r="T28" s="322"/>
      <c r="U28" s="322"/>
      <c r="V28" s="322"/>
    </row>
    <row r="29" spans="1:22" x14ac:dyDescent="0.2">
      <c r="A29" s="160" t="s">
        <v>58</v>
      </c>
      <c r="B29" s="159"/>
      <c r="C29" s="159"/>
      <c r="D29" s="159"/>
      <c r="E29" s="159"/>
      <c r="F29" s="159"/>
      <c r="G29" s="159"/>
      <c r="H29" s="216"/>
      <c r="J29" s="272"/>
      <c r="S29" s="322"/>
      <c r="T29" s="322"/>
      <c r="U29" s="322"/>
      <c r="V29" s="322"/>
    </row>
    <row r="30" spans="1:22" x14ac:dyDescent="0.2">
      <c r="A30" s="158"/>
      <c r="B30" s="159"/>
      <c r="C30" s="159"/>
      <c r="D30" s="159"/>
      <c r="E30" s="159"/>
      <c r="F30" s="159"/>
      <c r="G30" s="159"/>
      <c r="H30" s="216"/>
      <c r="S30" s="322"/>
      <c r="T30" s="322"/>
      <c r="U30" s="322"/>
      <c r="V30" s="322"/>
    </row>
    <row r="31" spans="1:22" x14ac:dyDescent="0.2">
      <c r="A31" s="154" t="s">
        <v>223</v>
      </c>
      <c r="B31" s="163"/>
      <c r="C31" s="163"/>
      <c r="D31" s="159"/>
      <c r="E31" s="159"/>
      <c r="F31" s="159"/>
      <c r="G31" s="159"/>
      <c r="H31" s="216"/>
      <c r="M31" s="268"/>
      <c r="S31" s="322"/>
      <c r="T31" s="322"/>
      <c r="U31" s="322"/>
      <c r="V31" s="322"/>
    </row>
    <row r="32" spans="1:22" x14ac:dyDescent="0.2">
      <c r="A32" s="155"/>
      <c r="B32" s="132" t="s">
        <v>105</v>
      </c>
      <c r="C32" s="132" t="s">
        <v>206</v>
      </c>
      <c r="D32" s="159"/>
      <c r="E32" s="159"/>
      <c r="F32" s="159"/>
      <c r="G32" s="159"/>
      <c r="H32" s="216"/>
      <c r="M32" s="325"/>
      <c r="S32" s="322"/>
      <c r="T32" s="322"/>
      <c r="U32" s="322"/>
      <c r="V32" s="322"/>
    </row>
    <row r="33" spans="1:22" x14ac:dyDescent="0.2">
      <c r="A33" s="223" t="s">
        <v>128</v>
      </c>
      <c r="B33" s="164">
        <v>350</v>
      </c>
      <c r="C33" s="165">
        <v>18000</v>
      </c>
      <c r="D33" s="159"/>
      <c r="E33" s="159"/>
      <c r="F33" s="159"/>
      <c r="G33" s="159"/>
      <c r="H33" s="216"/>
      <c r="M33" s="268"/>
      <c r="S33" s="322"/>
      <c r="T33" s="322"/>
      <c r="U33" s="322"/>
      <c r="V33" s="322"/>
    </row>
    <row r="34" spans="1:22" x14ac:dyDescent="0.2">
      <c r="A34" s="223" t="s">
        <v>205</v>
      </c>
      <c r="B34" s="164">
        <v>500</v>
      </c>
      <c r="C34" s="164">
        <v>26000</v>
      </c>
      <c r="D34" s="159"/>
      <c r="E34" s="159"/>
      <c r="F34" s="159"/>
      <c r="G34" s="159"/>
      <c r="H34" s="216"/>
      <c r="M34" s="325"/>
      <c r="S34" s="322"/>
      <c r="T34" s="322"/>
      <c r="U34" s="322"/>
      <c r="V34" s="322"/>
    </row>
    <row r="35" spans="1:22" ht="13.5" thickBot="1" x14ac:dyDescent="0.25">
      <c r="A35" s="166"/>
      <c r="B35" s="163"/>
      <c r="C35" s="163"/>
      <c r="D35" s="159"/>
      <c r="E35" s="159"/>
      <c r="F35" s="299"/>
      <c r="G35" s="159"/>
      <c r="H35" s="216"/>
      <c r="M35" s="268"/>
      <c r="S35" s="322"/>
      <c r="T35" s="322"/>
      <c r="U35" s="322"/>
      <c r="V35" s="322"/>
    </row>
    <row r="36" spans="1:22" ht="12.75" customHeight="1" x14ac:dyDescent="0.2">
      <c r="A36" s="345" t="s">
        <v>189</v>
      </c>
      <c r="B36" s="355" t="s">
        <v>79</v>
      </c>
      <c r="C36" s="356"/>
      <c r="D36" s="159"/>
      <c r="E36" s="159"/>
      <c r="F36" s="300"/>
      <c r="G36" s="159"/>
      <c r="H36" s="216"/>
      <c r="M36" s="325"/>
      <c r="S36" s="322"/>
      <c r="T36" s="322"/>
      <c r="U36" s="322"/>
      <c r="V36" s="322"/>
    </row>
    <row r="37" spans="1:22" x14ac:dyDescent="0.2">
      <c r="A37" s="346"/>
      <c r="B37" s="167" t="s">
        <v>23</v>
      </c>
      <c r="C37" s="168" t="s">
        <v>22</v>
      </c>
      <c r="D37" s="159"/>
      <c r="E37" s="299"/>
      <c r="F37" s="299"/>
      <c r="G37" s="159"/>
      <c r="H37" s="216"/>
      <c r="M37" s="268"/>
    </row>
    <row r="38" spans="1:22" x14ac:dyDescent="0.2">
      <c r="A38" s="339" t="s">
        <v>65</v>
      </c>
      <c r="B38" s="340"/>
      <c r="C38" s="341"/>
      <c r="D38" s="159"/>
      <c r="E38" s="300"/>
      <c r="F38" s="300"/>
      <c r="G38" s="159"/>
      <c r="H38" s="216"/>
      <c r="M38" s="325"/>
    </row>
    <row r="39" spans="1:22" x14ac:dyDescent="0.2">
      <c r="A39" s="188" t="s">
        <v>66</v>
      </c>
      <c r="B39" s="169">
        <v>190.31373977039689</v>
      </c>
      <c r="C39" s="170">
        <v>110.3934683864538</v>
      </c>
      <c r="D39" s="159"/>
      <c r="E39" s="299"/>
      <c r="F39" s="299"/>
      <c r="G39" s="159"/>
      <c r="H39" s="216"/>
      <c r="M39" s="268"/>
    </row>
    <row r="40" spans="1:22" x14ac:dyDescent="0.2">
      <c r="A40" s="188" t="s">
        <v>67</v>
      </c>
      <c r="B40" s="169">
        <v>369.12815991720493</v>
      </c>
      <c r="C40" s="170">
        <v>264.48435134254555</v>
      </c>
      <c r="D40" s="159"/>
      <c r="E40" s="300"/>
      <c r="F40" s="300"/>
      <c r="G40" s="159"/>
      <c r="H40" s="216"/>
      <c r="M40" s="325"/>
    </row>
    <row r="41" spans="1:22" x14ac:dyDescent="0.2">
      <c r="A41" s="188" t="s">
        <v>68</v>
      </c>
      <c r="B41" s="169">
        <v>85.094965214558144</v>
      </c>
      <c r="C41" s="170">
        <v>52.321904287329666</v>
      </c>
      <c r="D41" s="159"/>
      <c r="E41" s="299"/>
      <c r="F41" s="299"/>
      <c r="G41" s="159"/>
      <c r="H41" s="216"/>
    </row>
    <row r="42" spans="1:22" x14ac:dyDescent="0.2">
      <c r="A42" s="188" t="s">
        <v>69</v>
      </c>
      <c r="B42" s="169">
        <v>106.36870651819767</v>
      </c>
      <c r="C42" s="170">
        <v>82.2201353086609</v>
      </c>
      <c r="D42" s="159"/>
      <c r="E42" s="300"/>
      <c r="F42" s="300"/>
      <c r="G42" s="159"/>
      <c r="H42" s="216"/>
    </row>
    <row r="43" spans="1:22" x14ac:dyDescent="0.2">
      <c r="A43" s="188" t="s">
        <v>70</v>
      </c>
      <c r="B43" s="169">
        <v>182.26421603388465</v>
      </c>
      <c r="C43" s="170">
        <v>127.64244782183719</v>
      </c>
      <c r="D43" s="159"/>
      <c r="E43" s="299"/>
      <c r="F43" s="159"/>
      <c r="G43" s="159"/>
      <c r="H43" s="216"/>
    </row>
    <row r="44" spans="1:22" x14ac:dyDescent="0.2">
      <c r="A44" s="339" t="s">
        <v>71</v>
      </c>
      <c r="B44" s="340"/>
      <c r="C44" s="341"/>
      <c r="D44" s="159"/>
      <c r="E44" s="300"/>
      <c r="F44" s="159"/>
      <c r="G44" s="159"/>
      <c r="H44" s="216"/>
    </row>
    <row r="45" spans="1:22" x14ac:dyDescent="0.2">
      <c r="A45" s="188" t="s">
        <v>72</v>
      </c>
      <c r="B45" s="169">
        <v>130.51727772773444</v>
      </c>
      <c r="C45" s="170">
        <v>96.594284838147075</v>
      </c>
      <c r="D45" s="159"/>
      <c r="E45" s="159"/>
      <c r="F45" s="159"/>
      <c r="G45" s="159"/>
      <c r="H45" s="216"/>
    </row>
    <row r="46" spans="1:22" x14ac:dyDescent="0.2">
      <c r="A46" s="188" t="s">
        <v>73</v>
      </c>
      <c r="B46" s="169">
        <v>71.295781666251415</v>
      </c>
      <c r="C46" s="170">
        <v>52.321904287329666</v>
      </c>
      <c r="D46" s="159"/>
      <c r="E46" s="159"/>
      <c r="F46" s="159"/>
      <c r="G46" s="159"/>
      <c r="H46" s="216"/>
    </row>
    <row r="47" spans="1:22" x14ac:dyDescent="0.2">
      <c r="A47" s="188" t="s">
        <v>74</v>
      </c>
      <c r="B47" s="169">
        <v>317.38122161105463</v>
      </c>
      <c r="C47" s="170">
        <v>264.48435134254555</v>
      </c>
      <c r="D47" s="159"/>
      <c r="E47" s="159"/>
      <c r="F47" s="159"/>
      <c r="G47" s="159"/>
      <c r="H47" s="216"/>
    </row>
    <row r="48" spans="1:22" x14ac:dyDescent="0.2">
      <c r="A48" s="188" t="s">
        <v>75</v>
      </c>
      <c r="B48" s="169">
        <v>277.70856890967286</v>
      </c>
      <c r="C48" s="170">
        <v>169.0399984667574</v>
      </c>
      <c r="D48" s="159"/>
      <c r="E48" s="159"/>
      <c r="F48" s="159"/>
      <c r="G48" s="159"/>
      <c r="H48" s="216"/>
    </row>
    <row r="49" spans="1:8" x14ac:dyDescent="0.2">
      <c r="A49" s="188" t="s">
        <v>76</v>
      </c>
      <c r="B49" s="169">
        <v>201.23809341280639</v>
      </c>
      <c r="C49" s="170">
        <v>148.34122314429729</v>
      </c>
      <c r="D49" s="159"/>
      <c r="E49" s="159"/>
      <c r="F49" s="159"/>
      <c r="G49" s="159"/>
      <c r="H49" s="216"/>
    </row>
    <row r="50" spans="1:8" ht="22.5" x14ac:dyDescent="0.2">
      <c r="A50" s="188" t="s">
        <v>77</v>
      </c>
      <c r="B50" s="169">
        <v>127.06748184065776</v>
      </c>
      <c r="C50" s="170">
        <v>96.594284838147075</v>
      </c>
      <c r="D50" s="159"/>
      <c r="E50" s="159"/>
      <c r="F50" s="159"/>
      <c r="G50" s="159"/>
      <c r="H50" s="216"/>
    </row>
    <row r="51" spans="1:8" x14ac:dyDescent="0.2">
      <c r="A51" s="188" t="s">
        <v>78</v>
      </c>
      <c r="B51" s="169">
        <v>65.546121854456942</v>
      </c>
      <c r="C51" s="170">
        <v>37.372788776664045</v>
      </c>
      <c r="D51" s="159"/>
      <c r="E51" s="159"/>
      <c r="F51" s="159"/>
      <c r="G51" s="159"/>
      <c r="H51" s="216"/>
    </row>
    <row r="52" spans="1:8" ht="13.5" thickBot="1" x14ac:dyDescent="0.25">
      <c r="A52" s="171" t="s">
        <v>79</v>
      </c>
      <c r="B52" s="172">
        <v>171.33986239147515</v>
      </c>
      <c r="C52" s="173">
        <v>96.594284838147075</v>
      </c>
      <c r="D52" s="159"/>
      <c r="E52" s="159"/>
      <c r="F52" s="159"/>
      <c r="G52" s="159"/>
      <c r="H52" s="216"/>
    </row>
    <row r="53" spans="1:8" x14ac:dyDescent="0.2">
      <c r="A53" s="158" t="s">
        <v>215</v>
      </c>
      <c r="B53" s="159"/>
      <c r="C53" s="159"/>
      <c r="D53" s="159"/>
      <c r="E53" s="159"/>
      <c r="F53" s="159"/>
      <c r="G53" s="159"/>
      <c r="H53" s="216"/>
    </row>
    <row r="54" spans="1:8" ht="13.5" thickBot="1" x14ac:dyDescent="0.25">
      <c r="A54" s="293" t="s">
        <v>226</v>
      </c>
      <c r="B54" s="294"/>
      <c r="C54" s="294"/>
      <c r="D54" s="294"/>
      <c r="E54" s="294"/>
      <c r="F54" s="294"/>
      <c r="G54" s="294"/>
      <c r="H54" s="295"/>
    </row>
  </sheetData>
  <mergeCells count="9">
    <mergeCell ref="A44:C44"/>
    <mergeCell ref="A5:E5"/>
    <mergeCell ref="A36:A37"/>
    <mergeCell ref="B20:E20"/>
    <mergeCell ref="A2:H3"/>
    <mergeCell ref="G5:G6"/>
    <mergeCell ref="A38:C38"/>
    <mergeCell ref="B36:C36"/>
    <mergeCell ref="G20:H20"/>
  </mergeCells>
  <phoneticPr fontId="0" type="noConversion"/>
  <hyperlinks>
    <hyperlink ref="A24" r:id="rId1"/>
    <hyperlink ref="A29" r:id="rId2"/>
  </hyperlinks>
  <pageMargins left="0.75" right="0.75" top="1" bottom="1" header="0.5" footer="0.5"/>
  <pageSetup paperSize="9" scale="90"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L26"/>
  <sheetViews>
    <sheetView workbookViewId="0">
      <selection activeCell="C32" sqref="C32"/>
    </sheetView>
  </sheetViews>
  <sheetFormatPr defaultRowHeight="12.75" x14ac:dyDescent="0.2"/>
  <cols>
    <col min="2" max="2" width="10.28515625" customWidth="1"/>
    <col min="3" max="3" width="10.7109375" bestFit="1" customWidth="1"/>
    <col min="4" max="5" width="10.42578125" bestFit="1" customWidth="1"/>
    <col min="8" max="8" width="18.28515625" customWidth="1"/>
    <col min="9" max="9" width="10.7109375" customWidth="1"/>
  </cols>
  <sheetData>
    <row r="1" spans="1:12" ht="21" thickBot="1" x14ac:dyDescent="0.35">
      <c r="A1" s="303" t="s">
        <v>229</v>
      </c>
      <c r="B1" s="119"/>
      <c r="C1" s="119"/>
      <c r="D1" s="119"/>
      <c r="E1" s="358" t="str">
        <f>H2</f>
        <v>October 2014</v>
      </c>
      <c r="F1" s="359"/>
      <c r="G1" s="7"/>
      <c r="H1" s="7"/>
      <c r="I1" s="7"/>
      <c r="J1" s="7"/>
      <c r="K1" s="7"/>
      <c r="L1" s="8"/>
    </row>
    <row r="2" spans="1:12" ht="20.25" x14ac:dyDescent="0.3">
      <c r="A2" s="304"/>
      <c r="B2" s="10"/>
      <c r="C2" s="10"/>
      <c r="D2" s="10"/>
      <c r="E2" s="10"/>
      <c r="F2" s="10"/>
      <c r="G2" s="10"/>
      <c r="H2" s="282" t="str">
        <f>'Key formula data'!C6</f>
        <v>October 2014</v>
      </c>
      <c r="I2" s="10"/>
      <c r="J2" s="10"/>
      <c r="K2" s="10"/>
      <c r="L2" s="11"/>
    </row>
    <row r="3" spans="1:12" x14ac:dyDescent="0.2">
      <c r="A3" s="9" t="s">
        <v>236</v>
      </c>
      <c r="B3" s="10"/>
      <c r="C3" s="10"/>
      <c r="D3" s="10"/>
      <c r="E3" s="10"/>
      <c r="F3" s="10"/>
      <c r="G3" s="10"/>
      <c r="H3" s="44" t="s">
        <v>113</v>
      </c>
      <c r="I3" s="41"/>
      <c r="J3" s="5"/>
      <c r="K3" s="5"/>
      <c r="L3" s="305"/>
    </row>
    <row r="4" spans="1:12" x14ac:dyDescent="0.2">
      <c r="A4" s="306" t="s">
        <v>234</v>
      </c>
      <c r="B4" s="264" t="s">
        <v>230</v>
      </c>
      <c r="C4" s="264" t="s">
        <v>233</v>
      </c>
      <c r="D4" s="264" t="s">
        <v>231</v>
      </c>
      <c r="E4" s="264" t="s">
        <v>232</v>
      </c>
      <c r="F4" s="264" t="s">
        <v>6</v>
      </c>
      <c r="G4" s="10"/>
      <c r="H4" s="262" t="str">
        <f>'Key formula data'!A7</f>
        <v>Area</v>
      </c>
      <c r="I4" s="262">
        <f>'Key formula data'!B7</f>
        <v>1</v>
      </c>
      <c r="J4" s="262">
        <f>'Key formula data'!C7</f>
        <v>2</v>
      </c>
      <c r="K4" s="262">
        <f>'Key formula data'!D7</f>
        <v>3</v>
      </c>
      <c r="L4" s="307" t="str">
        <f>'Key formula data'!E7</f>
        <v xml:space="preserve">4+ </v>
      </c>
    </row>
    <row r="5" spans="1:12" x14ac:dyDescent="0.2">
      <c r="A5" s="306" t="s">
        <v>102</v>
      </c>
      <c r="B5" s="264"/>
      <c r="C5" s="264" t="s">
        <v>36</v>
      </c>
      <c r="D5" s="266" t="s">
        <v>26</v>
      </c>
      <c r="E5" s="266" t="s">
        <v>25</v>
      </c>
      <c r="F5" s="264" t="s">
        <v>235</v>
      </c>
      <c r="G5" s="10"/>
      <c r="H5" s="262" t="str">
        <f>'Key formula data'!A8</f>
        <v>Southwark</v>
      </c>
      <c r="I5" s="263">
        <f>'Key formula data'!B8</f>
        <v>353.71907162159573</v>
      </c>
      <c r="J5" s="263">
        <f>'Key formula data'!C8</f>
        <v>448.47346531996857</v>
      </c>
      <c r="K5" s="263">
        <f>'Key formula data'!D8</f>
        <v>573.1260900396727</v>
      </c>
      <c r="L5" s="308">
        <f>'Key formula data'!E8</f>
        <v>680.29974893152155</v>
      </c>
    </row>
    <row r="6" spans="1:12" x14ac:dyDescent="0.2">
      <c r="A6" s="309">
        <v>1</v>
      </c>
      <c r="B6" s="270"/>
      <c r="C6" s="265">
        <f>I5</f>
        <v>353.71907162159573</v>
      </c>
      <c r="D6" s="265">
        <f>VLOOKUP($D$5,medianrents22,2,FALSE)</f>
        <v>395.34660865898769</v>
      </c>
      <c r="E6" s="265">
        <f>VLOOKUP($E$5,medianrents22,2,FALSE)</f>
        <v>298.98231021331236</v>
      </c>
      <c r="F6" s="269">
        <f>I15</f>
        <v>196.23</v>
      </c>
      <c r="G6" s="10"/>
      <c r="H6" s="262" t="str">
        <f>'Key formula data'!A9</f>
        <v xml:space="preserve">SE1 </v>
      </c>
      <c r="I6" s="263">
        <f>'Key formula data'!B9</f>
        <v>395.34660865898769</v>
      </c>
      <c r="J6" s="263">
        <f>'Key formula data'!C9</f>
        <v>518.15934223891759</v>
      </c>
      <c r="K6" s="263">
        <f>'Key formula data'!D9</f>
        <v>720.08739482913927</v>
      </c>
      <c r="L6" s="308">
        <f>'Key formula data'!E9</f>
        <v>677.76989861433196</v>
      </c>
    </row>
    <row r="7" spans="1:12" x14ac:dyDescent="0.2">
      <c r="A7" s="309">
        <v>2</v>
      </c>
      <c r="B7" s="270"/>
      <c r="C7" s="265">
        <f>J5</f>
        <v>448.47346531996857</v>
      </c>
      <c r="D7" s="265">
        <f>VLOOKUP($D$5,medianrents22,3,FALSE)</f>
        <v>518.15934223891759</v>
      </c>
      <c r="E7" s="265">
        <f>VLOOKUP($E$5,medianrents22,3,FALSE)</f>
        <v>358.77877225597484</v>
      </c>
      <c r="F7" s="269">
        <f>J15</f>
        <v>255.09</v>
      </c>
      <c r="G7" s="10"/>
      <c r="H7" s="262" t="str">
        <f>'Key formula data'!A10</f>
        <v xml:space="preserve">SE5 </v>
      </c>
      <c r="I7" s="263">
        <f>'Key formula data'!B10</f>
        <v>298.98231021331236</v>
      </c>
      <c r="J7" s="263">
        <f>'Key formula data'!C10</f>
        <v>358.77877225597484</v>
      </c>
      <c r="K7" s="263">
        <f>'Key formula data'!D10</f>
        <v>471.47210456714646</v>
      </c>
      <c r="L7" s="308">
        <f>'Key formula data'!E10</f>
        <v>647.87166759300078</v>
      </c>
    </row>
    <row r="8" spans="1:12" x14ac:dyDescent="0.2">
      <c r="A8" s="309">
        <v>3</v>
      </c>
      <c r="B8" s="270"/>
      <c r="C8" s="265">
        <f>K5</f>
        <v>573.1260900396727</v>
      </c>
      <c r="D8" s="265">
        <f>VLOOKUP($D$5,medianrents22,4,FALSE)</f>
        <v>720.08739482913927</v>
      </c>
      <c r="E8" s="265">
        <f>VLOOKUP($E$5,medianrents22,4,FALSE)</f>
        <v>471.47210456714646</v>
      </c>
      <c r="F8" s="269">
        <f>K15</f>
        <v>318</v>
      </c>
      <c r="G8" s="10"/>
      <c r="H8" s="262" t="str">
        <f>'Key formula data'!A11</f>
        <v xml:space="preserve">SE11 </v>
      </c>
      <c r="I8" s="263">
        <f>'Key formula data'!B11</f>
        <v>348.88935737968836</v>
      </c>
      <c r="J8" s="263">
        <f>'Key formula data'!C11</f>
        <v>413.51553366425821</v>
      </c>
      <c r="K8" s="263">
        <f>'Key formula data'!D11</f>
        <v>595.43477010943525</v>
      </c>
      <c r="L8" s="308">
        <f>'Key formula data'!E11</f>
        <v>0</v>
      </c>
    </row>
    <row r="9" spans="1:12" x14ac:dyDescent="0.2">
      <c r="A9" s="309">
        <v>4</v>
      </c>
      <c r="B9" s="270"/>
      <c r="C9" s="265">
        <f>L5</f>
        <v>680.29974893152155</v>
      </c>
      <c r="D9" s="265">
        <f>VLOOKUP($D$5,medianrents22,5,FALSE)</f>
        <v>677.76989861433196</v>
      </c>
      <c r="E9" s="265">
        <f>VLOOKUP($E$5,medianrents22,5,FALSE)</f>
        <v>647.87166759300078</v>
      </c>
      <c r="F9" s="269">
        <f>L15</f>
        <v>412.89</v>
      </c>
      <c r="G9" s="10"/>
      <c r="H9" s="262" t="str">
        <f>'Key formula data'!A12</f>
        <v xml:space="preserve">SE15 </v>
      </c>
      <c r="I9" s="263">
        <f>'Key formula data'!B12</f>
        <v>256.20484121356151</v>
      </c>
      <c r="J9" s="263">
        <f>'Key formula data'!C12</f>
        <v>344.97958870766814</v>
      </c>
      <c r="K9" s="263">
        <f>'Key formula data'!D12</f>
        <v>425.47482607279068</v>
      </c>
      <c r="L9" s="308">
        <f>'Key formula data'!E12</f>
        <v>683.97953121107003</v>
      </c>
    </row>
    <row r="10" spans="1:12" x14ac:dyDescent="0.2">
      <c r="A10" s="79"/>
      <c r="B10" s="64"/>
      <c r="C10" s="64"/>
      <c r="D10" s="64"/>
      <c r="E10" s="64"/>
      <c r="F10" s="64"/>
      <c r="G10" s="10"/>
      <c r="H10" s="262" t="str">
        <f>'Key formula data'!A13</f>
        <v xml:space="preserve">SE16 </v>
      </c>
      <c r="I10" s="263">
        <f>'Key formula data'!B13</f>
        <v>341.29980642811967</v>
      </c>
      <c r="J10" s="263">
        <f>'Key formula data'!C13</f>
        <v>418.57523429863733</v>
      </c>
      <c r="K10" s="263">
        <f>'Key formula data'!D13</f>
        <v>574.04603560955979</v>
      </c>
      <c r="L10" s="308">
        <f>'Key formula data'!E13</f>
        <v>824.73120340379865</v>
      </c>
    </row>
    <row r="11" spans="1:12" x14ac:dyDescent="0.2">
      <c r="A11" s="154" t="s">
        <v>241</v>
      </c>
      <c r="B11" s="64"/>
      <c r="C11" s="64"/>
      <c r="D11" s="64"/>
      <c r="E11" s="64"/>
      <c r="F11" s="64"/>
      <c r="G11" s="10"/>
      <c r="H11" s="262" t="str">
        <f>'Key formula data'!A14</f>
        <v xml:space="preserve">SE17 </v>
      </c>
      <c r="I11" s="263">
        <f>'Key formula data'!B14</f>
        <v>298.98231021331236</v>
      </c>
      <c r="J11" s="263">
        <f>'Key formula data'!C14</f>
        <v>368.66818713226132</v>
      </c>
      <c r="K11" s="263">
        <f>'Key formula data'!D14</f>
        <v>458.36288019625505</v>
      </c>
      <c r="L11" s="308">
        <f>'Key formula data'!E14</f>
        <v>652.93136822737983</v>
      </c>
    </row>
    <row r="12" spans="1:12" x14ac:dyDescent="0.2">
      <c r="A12" s="306" t="s">
        <v>234</v>
      </c>
      <c r="B12" s="264" t="s">
        <v>230</v>
      </c>
      <c r="C12" s="264" t="s">
        <v>233</v>
      </c>
      <c r="D12" s="264" t="s">
        <v>231</v>
      </c>
      <c r="E12" s="264" t="s">
        <v>232</v>
      </c>
      <c r="F12" s="264" t="s">
        <v>6</v>
      </c>
      <c r="G12" s="10"/>
      <c r="H12" s="262" t="str">
        <f>'Key formula data'!A15</f>
        <v xml:space="preserve">SE21 </v>
      </c>
      <c r="I12" s="263">
        <f>'Key formula data'!B15</f>
        <v>284.26318109511857</v>
      </c>
      <c r="J12" s="263">
        <f>'Key formula data'!C15</f>
        <v>321.98094946049025</v>
      </c>
      <c r="K12" s="263">
        <f>'Key formula data'!D15</f>
        <v>419.72516626099622</v>
      </c>
      <c r="L12" s="308">
        <f>'Key formula data'!E15</f>
        <v>632.46257929739158</v>
      </c>
    </row>
    <row r="13" spans="1:12" x14ac:dyDescent="0.2">
      <c r="A13" s="306" t="s">
        <v>102</v>
      </c>
      <c r="B13" s="264"/>
      <c r="C13" s="264" t="s">
        <v>36</v>
      </c>
      <c r="D13" s="310" t="str">
        <f>D5</f>
        <v xml:space="preserve">SE1 </v>
      </c>
      <c r="E13" s="310" t="str">
        <f>E5</f>
        <v xml:space="preserve">SE5 </v>
      </c>
      <c r="F13" s="264" t="s">
        <v>235</v>
      </c>
      <c r="G13" s="10"/>
      <c r="H13" s="262" t="str">
        <f>'Key formula data'!A16</f>
        <v xml:space="preserve">SE22 </v>
      </c>
      <c r="I13" s="263">
        <f>'Key formula data'!B16</f>
        <v>278.05354849838051</v>
      </c>
      <c r="J13" s="263">
        <f>'Key formula data'!C16</f>
        <v>343.82965674530925</v>
      </c>
      <c r="K13" s="263">
        <f>'Key formula data'!D16</f>
        <v>482.74143779826363</v>
      </c>
      <c r="L13" s="308">
        <f>'Key formula data'!E16</f>
        <v>689.72919102286448</v>
      </c>
    </row>
    <row r="14" spans="1:12" x14ac:dyDescent="0.2">
      <c r="A14" s="309">
        <v>1</v>
      </c>
      <c r="B14" s="265">
        <f>B6</f>
        <v>0</v>
      </c>
      <c r="C14" s="267">
        <f t="shared" ref="C14:F17" si="0">$B6/C6</f>
        <v>0</v>
      </c>
      <c r="D14" s="267">
        <f t="shared" si="0"/>
        <v>0</v>
      </c>
      <c r="E14" s="267">
        <f t="shared" si="0"/>
        <v>0</v>
      </c>
      <c r="F14" s="267">
        <f t="shared" si="0"/>
        <v>0</v>
      </c>
      <c r="G14" s="10"/>
      <c r="H14" s="262" t="str">
        <f>'Key formula data'!A17</f>
        <v xml:space="preserve">SE24 </v>
      </c>
      <c r="I14" s="263">
        <f>'Key formula data'!B17</f>
        <v>278.97349406826766</v>
      </c>
      <c r="J14" s="263">
        <f>'Key formula data'!C17</f>
        <v>344.74960231519634</v>
      </c>
      <c r="K14" s="263">
        <f>'Key formula data'!D17</f>
        <v>520.68919255610706</v>
      </c>
      <c r="L14" s="308">
        <f>'Key formula data'!E17</f>
        <v>850.94965214558135</v>
      </c>
    </row>
    <row r="15" spans="1:12" x14ac:dyDescent="0.2">
      <c r="A15" s="309">
        <v>2</v>
      </c>
      <c r="B15" s="265">
        <f>B7</f>
        <v>0</v>
      </c>
      <c r="C15" s="267">
        <f t="shared" si="0"/>
        <v>0</v>
      </c>
      <c r="D15" s="267">
        <f t="shared" si="0"/>
        <v>0</v>
      </c>
      <c r="E15" s="267">
        <f t="shared" si="0"/>
        <v>0</v>
      </c>
      <c r="F15" s="267">
        <f t="shared" si="0"/>
        <v>0</v>
      </c>
      <c r="G15" s="10"/>
      <c r="H15" s="62" t="str">
        <f>'Key formula data'!A20</f>
        <v>LHA - April 2014</v>
      </c>
      <c r="I15" s="86">
        <f>'Key formula data'!B22</f>
        <v>196.23</v>
      </c>
      <c r="J15" s="86">
        <f>'Key formula data'!C22</f>
        <v>255.09</v>
      </c>
      <c r="K15" s="86">
        <f>'Key formula data'!D22</f>
        <v>318</v>
      </c>
      <c r="L15" s="311">
        <f>'Key formula data'!E22</f>
        <v>412.89</v>
      </c>
    </row>
    <row r="16" spans="1:12" x14ac:dyDescent="0.2">
      <c r="A16" s="309">
        <v>3</v>
      </c>
      <c r="B16" s="265">
        <f>B8</f>
        <v>0</v>
      </c>
      <c r="C16" s="267">
        <f t="shared" si="0"/>
        <v>0</v>
      </c>
      <c r="D16" s="267">
        <f t="shared" si="0"/>
        <v>0</v>
      </c>
      <c r="E16" s="267">
        <f t="shared" si="0"/>
        <v>0</v>
      </c>
      <c r="F16" s="267">
        <f t="shared" si="0"/>
        <v>0</v>
      </c>
      <c r="G16" s="10"/>
      <c r="H16" s="10"/>
      <c r="I16" s="10"/>
      <c r="J16" s="10"/>
      <c r="K16" s="10"/>
      <c r="L16" s="11"/>
    </row>
    <row r="17" spans="1:12" x14ac:dyDescent="0.2">
      <c r="A17" s="309">
        <v>4</v>
      </c>
      <c r="B17" s="265">
        <f>B9</f>
        <v>0</v>
      </c>
      <c r="C17" s="267">
        <f t="shared" si="0"/>
        <v>0</v>
      </c>
      <c r="D17" s="267">
        <f t="shared" si="0"/>
        <v>0</v>
      </c>
      <c r="E17" s="267">
        <f t="shared" si="0"/>
        <v>0</v>
      </c>
      <c r="F17" s="267">
        <f t="shared" si="0"/>
        <v>0</v>
      </c>
      <c r="G17" s="10"/>
      <c r="H17" s="10"/>
      <c r="I17" s="10"/>
      <c r="J17" s="10"/>
      <c r="K17" s="10"/>
      <c r="L17" s="11"/>
    </row>
    <row r="18" spans="1:12" x14ac:dyDescent="0.2">
      <c r="A18" s="112"/>
      <c r="B18" s="10"/>
      <c r="C18" s="10"/>
      <c r="D18" s="10"/>
      <c r="E18" s="10"/>
      <c r="F18" s="10"/>
      <c r="G18" s="10"/>
      <c r="H18" s="10"/>
      <c r="I18" s="10"/>
      <c r="J18" s="312"/>
      <c r="K18" s="10"/>
      <c r="L18" s="11"/>
    </row>
    <row r="19" spans="1:12" x14ac:dyDescent="0.2">
      <c r="A19" s="362" t="s">
        <v>240</v>
      </c>
      <c r="B19" s="363"/>
      <c r="C19" s="363"/>
      <c r="D19" s="10"/>
      <c r="E19" s="10"/>
      <c r="F19" s="10"/>
      <c r="G19" s="10"/>
      <c r="H19" s="10"/>
      <c r="I19" s="10"/>
      <c r="J19" s="312"/>
      <c r="K19" s="10"/>
      <c r="L19" s="11"/>
    </row>
    <row r="20" spans="1:12" x14ac:dyDescent="0.2">
      <c r="A20" s="112"/>
      <c r="B20" s="10"/>
      <c r="C20" s="10"/>
      <c r="D20" s="10"/>
      <c r="E20" s="10"/>
      <c r="F20" s="10"/>
      <c r="G20" s="10"/>
      <c r="H20" s="10"/>
      <c r="I20" s="10"/>
      <c r="J20" s="312"/>
      <c r="K20" s="10"/>
      <c r="L20" s="11"/>
    </row>
    <row r="21" spans="1:12" x14ac:dyDescent="0.2">
      <c r="A21" s="364" t="s">
        <v>237</v>
      </c>
      <c r="B21" s="365"/>
      <c r="C21" s="365"/>
      <c r="D21" s="365"/>
      <c r="E21" s="365"/>
      <c r="F21" s="366"/>
      <c r="G21" s="10"/>
      <c r="H21" s="10"/>
      <c r="I21" s="10"/>
      <c r="J21" s="10"/>
      <c r="K21" s="10"/>
      <c r="L21" s="11"/>
    </row>
    <row r="22" spans="1:12" x14ac:dyDescent="0.2">
      <c r="A22" s="360" t="s">
        <v>238</v>
      </c>
      <c r="B22" s="361"/>
      <c r="C22" s="361"/>
      <c r="D22" s="361"/>
      <c r="E22" s="361"/>
      <c r="F22" s="361"/>
      <c r="G22" s="10"/>
      <c r="H22" s="10"/>
      <c r="I22" s="10"/>
      <c r="J22" s="10"/>
      <c r="K22" s="10"/>
      <c r="L22" s="11"/>
    </row>
    <row r="23" spans="1:12" x14ac:dyDescent="0.2">
      <c r="A23" s="360" t="s">
        <v>239</v>
      </c>
      <c r="B23" s="361"/>
      <c r="C23" s="361"/>
      <c r="D23" s="361"/>
      <c r="E23" s="361"/>
      <c r="F23" s="361"/>
      <c r="G23" s="10"/>
      <c r="H23" s="10"/>
      <c r="I23" s="10"/>
      <c r="J23" s="10"/>
      <c r="K23" s="10"/>
      <c r="L23" s="11"/>
    </row>
    <row r="24" spans="1:12" x14ac:dyDescent="0.2">
      <c r="A24" s="360" t="s">
        <v>276</v>
      </c>
      <c r="B24" s="361"/>
      <c r="C24" s="361"/>
      <c r="D24" s="361"/>
      <c r="E24" s="361"/>
      <c r="F24" s="361"/>
      <c r="G24" s="10"/>
      <c r="H24" s="313"/>
      <c r="I24" s="10"/>
      <c r="J24" s="10"/>
      <c r="K24" s="10"/>
      <c r="L24" s="11"/>
    </row>
    <row r="25" spans="1:12" x14ac:dyDescent="0.2">
      <c r="A25" s="112"/>
      <c r="B25" s="10"/>
      <c r="C25" s="10"/>
      <c r="D25" s="10"/>
      <c r="E25" s="10"/>
      <c r="F25" s="10"/>
      <c r="G25" s="10"/>
      <c r="H25" s="10"/>
      <c r="I25" s="10"/>
      <c r="J25" s="10"/>
      <c r="K25" s="10"/>
      <c r="L25" s="11"/>
    </row>
    <row r="26" spans="1:12" ht="13.5" thickBot="1" x14ac:dyDescent="0.25">
      <c r="A26" s="114"/>
      <c r="B26" s="13"/>
      <c r="C26" s="13"/>
      <c r="D26" s="13"/>
      <c r="E26" s="13"/>
      <c r="F26" s="13"/>
      <c r="G26" s="13"/>
      <c r="H26" s="13"/>
      <c r="I26" s="13"/>
      <c r="J26" s="13"/>
      <c r="K26" s="13"/>
      <c r="L26" s="14"/>
    </row>
  </sheetData>
  <mergeCells count="6">
    <mergeCell ref="E1:F1"/>
    <mergeCell ref="A22:F22"/>
    <mergeCell ref="A23:F23"/>
    <mergeCell ref="A24:F24"/>
    <mergeCell ref="A19:C19"/>
    <mergeCell ref="A21:F21"/>
  </mergeCells>
  <phoneticPr fontId="35" type="noConversion"/>
  <conditionalFormatting sqref="C14:F17">
    <cfRule type="cellIs" dxfId="42" priority="1" stopIfTrue="1" operator="lessThanOrEqual">
      <formula>0.65</formula>
    </cfRule>
  </conditionalFormatting>
  <dataValidations count="1">
    <dataValidation type="list" allowBlank="1" showInputMessage="1" showErrorMessage="1" sqref="D5:E5">
      <formula1>$H$5:$H$14</formula1>
    </dataValidation>
  </dataValidations>
  <pageMargins left="0.75" right="0.75" top="1" bottom="1" header="0.5" footer="0.5"/>
  <pageSetup paperSize="9"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AO59"/>
  <sheetViews>
    <sheetView topLeftCell="K16" zoomScaleNormal="70" workbookViewId="0">
      <selection activeCell="Q59" sqref="M48:Q59"/>
    </sheetView>
  </sheetViews>
  <sheetFormatPr defaultRowHeight="12.75" x14ac:dyDescent="0.2"/>
  <cols>
    <col min="1" max="1" width="17.7109375" customWidth="1"/>
    <col min="2" max="2" width="11.85546875" customWidth="1"/>
    <col min="3" max="3" width="13.140625" customWidth="1"/>
    <col min="4" max="5" width="11.28515625" bestFit="1" customWidth="1"/>
    <col min="6" max="6" width="3.5703125" customWidth="1"/>
    <col min="7" max="7" width="11.28515625" customWidth="1"/>
    <col min="8" max="8" width="10.28515625" customWidth="1"/>
    <col min="9" max="9" width="10.7109375" customWidth="1"/>
    <col min="10" max="10" width="10.42578125" bestFit="1" customWidth="1"/>
    <col min="11" max="11" width="10.85546875" customWidth="1"/>
    <col min="12" max="12" width="3.7109375" customWidth="1"/>
    <col min="13" max="13" width="11.5703125" customWidth="1"/>
    <col min="14" max="14" width="8.85546875" bestFit="1" customWidth="1"/>
    <col min="15" max="17" width="10.42578125" bestFit="1" customWidth="1"/>
    <col min="18" max="18" width="3.5703125" customWidth="1"/>
    <col min="19" max="19" width="11.5703125" customWidth="1"/>
    <col min="20" max="20" width="8.85546875" bestFit="1" customWidth="1"/>
    <col min="21" max="23" width="10.42578125" bestFit="1" customWidth="1"/>
    <col min="24" max="24" width="3.28515625" customWidth="1"/>
    <col min="25" max="25" width="10.28515625" customWidth="1"/>
    <col min="26" max="26" width="11.5703125" bestFit="1" customWidth="1"/>
    <col min="27" max="27" width="10.42578125" bestFit="1" customWidth="1"/>
    <col min="28" max="28" width="10.140625" customWidth="1"/>
    <col min="29" max="29" width="10.42578125" bestFit="1" customWidth="1"/>
    <col min="30" max="30" width="3" customWidth="1"/>
    <col min="31" max="32" width="11.28515625" bestFit="1" customWidth="1"/>
    <col min="33" max="33" width="11.5703125" bestFit="1" customWidth="1"/>
    <col min="34" max="34" width="10.42578125" bestFit="1" customWidth="1"/>
    <col min="35" max="35" width="10.42578125" customWidth="1"/>
    <col min="36" max="36" width="4.42578125" customWidth="1"/>
    <col min="37" max="37" width="10.28515625" customWidth="1"/>
    <col min="38" max="39" width="11.28515625" bestFit="1" customWidth="1"/>
    <col min="40" max="40" width="11.5703125" bestFit="1" customWidth="1"/>
  </cols>
  <sheetData>
    <row r="1" spans="1:41" ht="21" thickBot="1" x14ac:dyDescent="0.35">
      <c r="A1" s="38" t="s">
        <v>5</v>
      </c>
    </row>
    <row r="2" spans="1:41" ht="57.6" customHeight="1" thickBot="1" x14ac:dyDescent="0.25">
      <c r="A2" s="370" t="s">
        <v>212</v>
      </c>
      <c r="B2" s="371"/>
      <c r="C2" s="371"/>
      <c r="D2" s="371"/>
      <c r="E2" s="371"/>
      <c r="F2" s="371"/>
      <c r="G2" s="371"/>
      <c r="H2" s="371"/>
      <c r="I2" s="371"/>
      <c r="J2" s="371"/>
      <c r="K2" s="372"/>
    </row>
    <row r="3" spans="1:41" x14ac:dyDescent="0.2">
      <c r="A3" s="200"/>
      <c r="B3" s="314" t="s">
        <v>306</v>
      </c>
      <c r="C3" s="315"/>
      <c r="D3" s="315" t="str">
        <f>'Key formula data'!A20</f>
        <v>LHA - April 2014</v>
      </c>
      <c r="F3" s="315"/>
      <c r="G3" s="315"/>
      <c r="H3" s="315"/>
    </row>
    <row r="4" spans="1:41" x14ac:dyDescent="0.2">
      <c r="A4" s="150" t="str">
        <f>'Key formula data'!A20</f>
        <v>LHA - April 2014</v>
      </c>
      <c r="B4" s="148" t="s">
        <v>116</v>
      </c>
      <c r="C4" s="148" t="s">
        <v>117</v>
      </c>
      <c r="D4" s="148" t="s">
        <v>118</v>
      </c>
      <c r="E4" s="148" t="s">
        <v>119</v>
      </c>
      <c r="G4" s="41" t="s">
        <v>6</v>
      </c>
      <c r="H4" s="148" t="s">
        <v>116</v>
      </c>
      <c r="I4" s="148" t="s">
        <v>117</v>
      </c>
      <c r="J4" s="148" t="s">
        <v>118</v>
      </c>
      <c r="K4" s="148" t="s">
        <v>119</v>
      </c>
      <c r="M4" s="41" t="s">
        <v>6</v>
      </c>
      <c r="N4" s="148" t="s">
        <v>116</v>
      </c>
      <c r="O4" s="148" t="s">
        <v>117</v>
      </c>
      <c r="P4" s="148" t="s">
        <v>118</v>
      </c>
      <c r="Q4" s="148" t="s">
        <v>119</v>
      </c>
      <c r="S4" s="41" t="s">
        <v>6</v>
      </c>
      <c r="T4" s="148" t="s">
        <v>116</v>
      </c>
      <c r="U4" s="148" t="s">
        <v>117</v>
      </c>
      <c r="V4" s="148" t="s">
        <v>118</v>
      </c>
      <c r="W4" s="148" t="s">
        <v>119</v>
      </c>
      <c r="Y4" s="41" t="s">
        <v>6</v>
      </c>
      <c r="Z4" s="148" t="s">
        <v>116</v>
      </c>
      <c r="AA4" s="148" t="s">
        <v>117</v>
      </c>
      <c r="AB4" s="148" t="s">
        <v>118</v>
      </c>
      <c r="AC4" s="148" t="s">
        <v>119</v>
      </c>
      <c r="AE4" s="41" t="s">
        <v>6</v>
      </c>
      <c r="AF4" s="148" t="s">
        <v>116</v>
      </c>
      <c r="AG4" s="148" t="s">
        <v>117</v>
      </c>
      <c r="AH4" s="148" t="s">
        <v>118</v>
      </c>
      <c r="AI4" s="148" t="s">
        <v>119</v>
      </c>
      <c r="AK4" s="41" t="s">
        <v>6</v>
      </c>
      <c r="AL4" s="148" t="s">
        <v>116</v>
      </c>
      <c r="AM4" s="148" t="s">
        <v>117</v>
      </c>
      <c r="AN4" s="148" t="s">
        <v>118</v>
      </c>
      <c r="AO4" s="148" t="s">
        <v>119</v>
      </c>
    </row>
    <row r="5" spans="1:41" x14ac:dyDescent="0.2">
      <c r="A5" s="146" t="s">
        <v>105</v>
      </c>
      <c r="B5" s="147">
        <f>'Key formula data'!B22</f>
        <v>196.23</v>
      </c>
      <c r="C5" s="147">
        <f>'Key formula data'!C22</f>
        <v>255.09</v>
      </c>
      <c r="D5" s="147">
        <f>'Key formula data'!D22</f>
        <v>318</v>
      </c>
      <c r="E5" s="147">
        <f>'Key formula data'!E22</f>
        <v>412.89</v>
      </c>
      <c r="F5" s="67"/>
      <c r="G5" s="146" t="s">
        <v>105</v>
      </c>
      <c r="H5" s="147">
        <f>$B$5</f>
        <v>196.23</v>
      </c>
      <c r="I5" s="147">
        <f>$C$5</f>
        <v>255.09</v>
      </c>
      <c r="J5" s="147">
        <f>$D$5</f>
        <v>318</v>
      </c>
      <c r="K5" s="147">
        <f>$E$5</f>
        <v>412.89</v>
      </c>
      <c r="L5" s="67"/>
      <c r="M5" s="146" t="s">
        <v>105</v>
      </c>
      <c r="N5" s="147">
        <f>$B$5</f>
        <v>196.23</v>
      </c>
      <c r="O5" s="147">
        <f>$C$5</f>
        <v>255.09</v>
      </c>
      <c r="P5" s="147">
        <f>$D$5</f>
        <v>318</v>
      </c>
      <c r="Q5" s="147">
        <f>$E$5</f>
        <v>412.89</v>
      </c>
      <c r="R5" s="67"/>
      <c r="S5" s="146" t="s">
        <v>105</v>
      </c>
      <c r="T5" s="147">
        <f>$B$5</f>
        <v>196.23</v>
      </c>
      <c r="U5" s="147">
        <f>$C$5</f>
        <v>255.09</v>
      </c>
      <c r="V5" s="147">
        <f>$D$5</f>
        <v>318</v>
      </c>
      <c r="W5" s="147">
        <f>$E$5</f>
        <v>412.89</v>
      </c>
      <c r="X5" s="67"/>
      <c r="Y5" s="146" t="s">
        <v>105</v>
      </c>
      <c r="Z5" s="147">
        <f>$B$5</f>
        <v>196.23</v>
      </c>
      <c r="AA5" s="147">
        <f>$C$5</f>
        <v>255.09</v>
      </c>
      <c r="AB5" s="147">
        <f>$D$5</f>
        <v>318</v>
      </c>
      <c r="AC5" s="147">
        <f>$E$5</f>
        <v>412.89</v>
      </c>
      <c r="AD5" s="67"/>
      <c r="AE5" s="146" t="s">
        <v>105</v>
      </c>
      <c r="AF5" s="147">
        <f>$B$5</f>
        <v>196.23</v>
      </c>
      <c r="AG5" s="147">
        <f>$C$5</f>
        <v>255.09</v>
      </c>
      <c r="AH5" s="147">
        <f>$D$5</f>
        <v>318</v>
      </c>
      <c r="AI5" s="147">
        <f>$E$5</f>
        <v>412.89</v>
      </c>
      <c r="AK5" s="146" t="s">
        <v>105</v>
      </c>
      <c r="AL5" s="147">
        <f>$B$5</f>
        <v>196.23</v>
      </c>
      <c r="AM5" s="147">
        <f>$C$5</f>
        <v>255.09</v>
      </c>
      <c r="AN5" s="147">
        <f>$D$5</f>
        <v>318</v>
      </c>
      <c r="AO5" s="147">
        <f>$E$5</f>
        <v>412.89</v>
      </c>
    </row>
    <row r="6" spans="1:41" x14ac:dyDescent="0.2">
      <c r="A6" s="199" t="s">
        <v>107</v>
      </c>
    </row>
    <row r="7" spans="1:41" x14ac:dyDescent="0.2">
      <c r="A7" s="44" t="s">
        <v>113</v>
      </c>
      <c r="B7" s="41"/>
      <c r="C7" s="5"/>
      <c r="D7" s="5"/>
      <c r="E7" s="5"/>
      <c r="G7" s="44" t="s">
        <v>113</v>
      </c>
      <c r="H7" s="41"/>
      <c r="I7" s="5"/>
      <c r="J7" s="5"/>
      <c r="K7" s="5"/>
      <c r="M7" s="44" t="s">
        <v>113</v>
      </c>
      <c r="N7" s="41"/>
      <c r="O7" s="5"/>
      <c r="P7" s="5"/>
      <c r="Q7" s="5"/>
      <c r="S7" s="44" t="s">
        <v>113</v>
      </c>
      <c r="T7" s="41"/>
      <c r="U7" s="5"/>
      <c r="V7" s="5"/>
      <c r="W7" s="5"/>
      <c r="Y7" s="44" t="s">
        <v>113</v>
      </c>
      <c r="Z7" s="41"/>
      <c r="AA7" s="5"/>
      <c r="AB7" s="5"/>
      <c r="AC7" s="5"/>
      <c r="AE7" s="44" t="s">
        <v>113</v>
      </c>
      <c r="AF7" s="41"/>
      <c r="AG7" s="5"/>
      <c r="AH7" s="5"/>
      <c r="AI7" s="5"/>
      <c r="AK7" s="44" t="s">
        <v>113</v>
      </c>
      <c r="AL7" s="41"/>
      <c r="AM7" s="5"/>
      <c r="AN7" s="5"/>
      <c r="AO7" s="5"/>
    </row>
    <row r="8" spans="1:41" x14ac:dyDescent="0.2">
      <c r="A8" s="45" t="s">
        <v>104</v>
      </c>
      <c r="B8" s="2">
        <v>1</v>
      </c>
      <c r="C8" s="2">
        <v>2</v>
      </c>
      <c r="D8" s="2">
        <v>3</v>
      </c>
      <c r="E8" s="2" t="s">
        <v>24</v>
      </c>
      <c r="G8" s="45" t="s">
        <v>104</v>
      </c>
      <c r="H8" s="2">
        <v>1</v>
      </c>
      <c r="I8" s="2">
        <v>2</v>
      </c>
      <c r="J8" s="2">
        <v>3</v>
      </c>
      <c r="K8" s="2" t="s">
        <v>24</v>
      </c>
      <c r="M8" s="45" t="s">
        <v>104</v>
      </c>
      <c r="N8" s="2">
        <v>1</v>
      </c>
      <c r="O8" s="2">
        <v>2</v>
      </c>
      <c r="P8" s="2">
        <v>3</v>
      </c>
      <c r="Q8" s="2" t="s">
        <v>24</v>
      </c>
      <c r="S8" s="45" t="s">
        <v>104</v>
      </c>
      <c r="T8" s="2">
        <v>1</v>
      </c>
      <c r="U8" s="2">
        <v>2</v>
      </c>
      <c r="V8" s="2">
        <v>3</v>
      </c>
      <c r="W8" s="2" t="s">
        <v>24</v>
      </c>
      <c r="Y8" s="45" t="s">
        <v>104</v>
      </c>
      <c r="Z8" s="2">
        <v>1</v>
      </c>
      <c r="AA8" s="2">
        <v>2</v>
      </c>
      <c r="AB8" s="2">
        <v>3</v>
      </c>
      <c r="AC8" s="2" t="s">
        <v>24</v>
      </c>
      <c r="AE8" s="45" t="s">
        <v>104</v>
      </c>
      <c r="AF8" s="149">
        <v>1</v>
      </c>
      <c r="AG8" s="149">
        <v>2</v>
      </c>
      <c r="AH8" s="149">
        <v>3</v>
      </c>
      <c r="AI8" s="149" t="s">
        <v>24</v>
      </c>
      <c r="AK8" s="45" t="s">
        <v>104</v>
      </c>
      <c r="AL8" s="2">
        <v>1</v>
      </c>
      <c r="AM8" s="2">
        <v>2</v>
      </c>
      <c r="AN8" s="2">
        <v>3</v>
      </c>
      <c r="AO8" s="2" t="s">
        <v>24</v>
      </c>
    </row>
    <row r="9" spans="1:41" x14ac:dyDescent="0.2">
      <c r="A9" s="45" t="s">
        <v>36</v>
      </c>
      <c r="B9" s="3">
        <f>'Key formula data'!B8</f>
        <v>353.71907162159573</v>
      </c>
      <c r="C9" s="3">
        <f>'Key formula data'!C8</f>
        <v>448.47346531996857</v>
      </c>
      <c r="D9" s="3">
        <f>'Key formula data'!D8</f>
        <v>573.1260900396727</v>
      </c>
      <c r="E9" s="3">
        <f>'Key formula data'!E8</f>
        <v>680.29974893152155</v>
      </c>
      <c r="G9" s="45" t="s">
        <v>36</v>
      </c>
      <c r="H9" s="3">
        <f>B9</f>
        <v>353.71907162159573</v>
      </c>
      <c r="I9" s="3">
        <f t="shared" ref="I9:K18" si="0">C9</f>
        <v>448.47346531996857</v>
      </c>
      <c r="J9" s="3">
        <f t="shared" si="0"/>
        <v>573.1260900396727</v>
      </c>
      <c r="K9" s="3">
        <f t="shared" si="0"/>
        <v>680.29974893152155</v>
      </c>
      <c r="M9" s="45" t="s">
        <v>36</v>
      </c>
      <c r="N9" s="3">
        <f t="shared" ref="N9:N18" si="1">H9</f>
        <v>353.71907162159573</v>
      </c>
      <c r="O9" s="3">
        <f t="shared" ref="O9:O18" si="2">I9</f>
        <v>448.47346531996857</v>
      </c>
      <c r="P9" s="3">
        <f t="shared" ref="P9:P18" si="3">J9</f>
        <v>573.1260900396727</v>
      </c>
      <c r="Q9" s="3">
        <f t="shared" ref="Q9:Q18" si="4">K9</f>
        <v>680.29974893152155</v>
      </c>
      <c r="S9" s="45" t="s">
        <v>36</v>
      </c>
      <c r="T9" s="3">
        <f t="shared" ref="T9:T18" si="5">H9</f>
        <v>353.71907162159573</v>
      </c>
      <c r="U9" s="3">
        <f t="shared" ref="U9:U18" si="6">I9</f>
        <v>448.47346531996857</v>
      </c>
      <c r="V9" s="3">
        <f t="shared" ref="V9:V18" si="7">J9</f>
        <v>573.1260900396727</v>
      </c>
      <c r="W9" s="3">
        <f t="shared" ref="W9:W18" si="8">K9</f>
        <v>680.29974893152155</v>
      </c>
      <c r="Y9" s="45" t="s">
        <v>36</v>
      </c>
      <c r="Z9" s="3">
        <f t="shared" ref="Z9:Z18" si="9">N9</f>
        <v>353.71907162159573</v>
      </c>
      <c r="AA9" s="3">
        <f t="shared" ref="AA9:AA18" si="10">O9</f>
        <v>448.47346531996857</v>
      </c>
      <c r="AB9" s="3">
        <f t="shared" ref="AB9:AB18" si="11">P9</f>
        <v>573.1260900396727</v>
      </c>
      <c r="AC9" s="3">
        <f t="shared" ref="AC9:AC18" si="12">Q9</f>
        <v>680.29974893152155</v>
      </c>
      <c r="AE9" s="45" t="s">
        <v>36</v>
      </c>
      <c r="AF9" s="3">
        <f t="shared" ref="AF9:AF18" si="13">Z9</f>
        <v>353.71907162159573</v>
      </c>
      <c r="AG9" s="3">
        <f t="shared" ref="AG9:AG18" si="14">AA9</f>
        <v>448.47346531996857</v>
      </c>
      <c r="AH9" s="3">
        <f t="shared" ref="AH9:AH18" si="15">AB9</f>
        <v>573.1260900396727</v>
      </c>
      <c r="AI9" s="3">
        <f t="shared" ref="AI9:AI18" si="16">AC9</f>
        <v>680.29974893152155</v>
      </c>
      <c r="AK9" s="45" t="s">
        <v>36</v>
      </c>
      <c r="AL9" s="3">
        <f t="shared" ref="AL9:AL18" si="17">AF9</f>
        <v>353.71907162159573</v>
      </c>
      <c r="AM9" s="3">
        <f t="shared" ref="AM9:AM18" si="18">AG9</f>
        <v>448.47346531996857</v>
      </c>
      <c r="AN9" s="3">
        <f t="shared" ref="AN9:AN18" si="19">AH9</f>
        <v>573.1260900396727</v>
      </c>
      <c r="AO9" s="3">
        <f t="shared" ref="AO9:AO18" si="20">AI9</f>
        <v>680.29974893152155</v>
      </c>
    </row>
    <row r="10" spans="1:41" x14ac:dyDescent="0.2">
      <c r="A10" s="45" t="s">
        <v>26</v>
      </c>
      <c r="B10" s="3">
        <f>'Key formula data'!B9</f>
        <v>395.34660865898769</v>
      </c>
      <c r="C10" s="3">
        <f>'Key formula data'!C9</f>
        <v>518.15934223891759</v>
      </c>
      <c r="D10" s="3">
        <f>'Key formula data'!D9</f>
        <v>720.08739482913927</v>
      </c>
      <c r="E10" s="3">
        <f>'Key formula data'!E9</f>
        <v>677.76989861433196</v>
      </c>
      <c r="G10" s="45" t="s">
        <v>26</v>
      </c>
      <c r="H10" s="3">
        <f t="shared" ref="H10:H18" si="21">B10</f>
        <v>395.34660865898769</v>
      </c>
      <c r="I10" s="3">
        <f t="shared" si="0"/>
        <v>518.15934223891759</v>
      </c>
      <c r="J10" s="3">
        <f t="shared" si="0"/>
        <v>720.08739482913927</v>
      </c>
      <c r="K10" s="3">
        <f t="shared" si="0"/>
        <v>677.76989861433196</v>
      </c>
      <c r="M10" s="45" t="s">
        <v>26</v>
      </c>
      <c r="N10" s="3">
        <f t="shared" si="1"/>
        <v>395.34660865898769</v>
      </c>
      <c r="O10" s="3">
        <f t="shared" si="2"/>
        <v>518.15934223891759</v>
      </c>
      <c r="P10" s="3">
        <f t="shared" si="3"/>
        <v>720.08739482913927</v>
      </c>
      <c r="Q10" s="3">
        <f t="shared" si="4"/>
        <v>677.76989861433196</v>
      </c>
      <c r="S10" s="45" t="s">
        <v>26</v>
      </c>
      <c r="T10" s="3">
        <f t="shared" si="5"/>
        <v>395.34660865898769</v>
      </c>
      <c r="U10" s="3">
        <f t="shared" si="6"/>
        <v>518.15934223891759</v>
      </c>
      <c r="V10" s="3">
        <f t="shared" si="7"/>
        <v>720.08739482913927</v>
      </c>
      <c r="W10" s="3">
        <f t="shared" si="8"/>
        <v>677.76989861433196</v>
      </c>
      <c r="Y10" s="45" t="s">
        <v>26</v>
      </c>
      <c r="Z10" s="3">
        <f t="shared" si="9"/>
        <v>395.34660865898769</v>
      </c>
      <c r="AA10" s="3">
        <f t="shared" si="10"/>
        <v>518.15934223891759</v>
      </c>
      <c r="AB10" s="3">
        <f t="shared" si="11"/>
        <v>720.08739482913927</v>
      </c>
      <c r="AC10" s="3">
        <f t="shared" si="12"/>
        <v>677.76989861433196</v>
      </c>
      <c r="AE10" s="45" t="s">
        <v>26</v>
      </c>
      <c r="AF10" s="3">
        <f t="shared" si="13"/>
        <v>395.34660865898769</v>
      </c>
      <c r="AG10" s="3">
        <f t="shared" si="14"/>
        <v>518.15934223891759</v>
      </c>
      <c r="AH10" s="3">
        <f t="shared" si="15"/>
        <v>720.08739482913927</v>
      </c>
      <c r="AI10" s="3">
        <f t="shared" si="16"/>
        <v>677.76989861433196</v>
      </c>
      <c r="AK10" s="45" t="s">
        <v>26</v>
      </c>
      <c r="AL10" s="3">
        <f t="shared" si="17"/>
        <v>395.34660865898769</v>
      </c>
      <c r="AM10" s="3">
        <f t="shared" si="18"/>
        <v>518.15934223891759</v>
      </c>
      <c r="AN10" s="3">
        <f t="shared" si="19"/>
        <v>720.08739482913927</v>
      </c>
      <c r="AO10" s="3">
        <f t="shared" si="20"/>
        <v>677.76989861433196</v>
      </c>
    </row>
    <row r="11" spans="1:41" x14ac:dyDescent="0.2">
      <c r="A11" s="45" t="s">
        <v>25</v>
      </c>
      <c r="B11" s="3">
        <f>'Key formula data'!B10</f>
        <v>298.98231021331236</v>
      </c>
      <c r="C11" s="3">
        <f>'Key formula data'!C10</f>
        <v>358.77877225597484</v>
      </c>
      <c r="D11" s="3">
        <f>'Key formula data'!D10</f>
        <v>471.47210456714646</v>
      </c>
      <c r="E11" s="3">
        <f>'Key formula data'!E10</f>
        <v>647.87166759300078</v>
      </c>
      <c r="G11" s="45" t="s">
        <v>25</v>
      </c>
      <c r="H11" s="3">
        <f t="shared" si="21"/>
        <v>298.98231021331236</v>
      </c>
      <c r="I11" s="3">
        <f t="shared" si="0"/>
        <v>358.77877225597484</v>
      </c>
      <c r="J11" s="3">
        <f t="shared" si="0"/>
        <v>471.47210456714646</v>
      </c>
      <c r="K11" s="3">
        <f t="shared" si="0"/>
        <v>647.87166759300078</v>
      </c>
      <c r="M11" s="45" t="s">
        <v>25</v>
      </c>
      <c r="N11" s="3">
        <f t="shared" si="1"/>
        <v>298.98231021331236</v>
      </c>
      <c r="O11" s="3">
        <f t="shared" si="2"/>
        <v>358.77877225597484</v>
      </c>
      <c r="P11" s="3">
        <f t="shared" si="3"/>
        <v>471.47210456714646</v>
      </c>
      <c r="Q11" s="3">
        <f t="shared" si="4"/>
        <v>647.87166759300078</v>
      </c>
      <c r="S11" s="45" t="s">
        <v>25</v>
      </c>
      <c r="T11" s="3">
        <f t="shared" si="5"/>
        <v>298.98231021331236</v>
      </c>
      <c r="U11" s="3">
        <f t="shared" si="6"/>
        <v>358.77877225597484</v>
      </c>
      <c r="V11" s="3">
        <f t="shared" si="7"/>
        <v>471.47210456714646</v>
      </c>
      <c r="W11" s="3">
        <f t="shared" si="8"/>
        <v>647.87166759300078</v>
      </c>
      <c r="Y11" s="45" t="s">
        <v>25</v>
      </c>
      <c r="Z11" s="3">
        <f t="shared" si="9"/>
        <v>298.98231021331236</v>
      </c>
      <c r="AA11" s="3">
        <f t="shared" si="10"/>
        <v>358.77877225597484</v>
      </c>
      <c r="AB11" s="3">
        <f t="shared" si="11"/>
        <v>471.47210456714646</v>
      </c>
      <c r="AC11" s="3">
        <f t="shared" si="12"/>
        <v>647.87166759300078</v>
      </c>
      <c r="AE11" s="45" t="s">
        <v>25</v>
      </c>
      <c r="AF11" s="3">
        <f t="shared" si="13"/>
        <v>298.98231021331236</v>
      </c>
      <c r="AG11" s="3">
        <f t="shared" si="14"/>
        <v>358.77877225597484</v>
      </c>
      <c r="AH11" s="3">
        <f t="shared" si="15"/>
        <v>471.47210456714646</v>
      </c>
      <c r="AI11" s="3">
        <f t="shared" si="16"/>
        <v>647.87166759300078</v>
      </c>
      <c r="AK11" s="45" t="s">
        <v>25</v>
      </c>
      <c r="AL11" s="3">
        <f t="shared" si="17"/>
        <v>298.98231021331236</v>
      </c>
      <c r="AM11" s="3">
        <f t="shared" si="18"/>
        <v>358.77877225597484</v>
      </c>
      <c r="AN11" s="3">
        <f t="shared" si="19"/>
        <v>471.47210456714646</v>
      </c>
      <c r="AO11" s="3">
        <f t="shared" si="20"/>
        <v>647.87166759300078</v>
      </c>
    </row>
    <row r="12" spans="1:41" x14ac:dyDescent="0.2">
      <c r="A12" s="45" t="s">
        <v>30</v>
      </c>
      <c r="B12" s="3">
        <f>'Key formula data'!B11</f>
        <v>348.88935737968836</v>
      </c>
      <c r="C12" s="3">
        <f>'Key formula data'!C11</f>
        <v>413.51553366425821</v>
      </c>
      <c r="D12" s="3">
        <f>'Key formula data'!D11</f>
        <v>595.43477010943525</v>
      </c>
      <c r="E12" s="3">
        <f>'Key formula data'!E11</f>
        <v>0</v>
      </c>
      <c r="G12" s="45" t="s">
        <v>30</v>
      </c>
      <c r="H12" s="3">
        <f t="shared" si="21"/>
        <v>348.88935737968836</v>
      </c>
      <c r="I12" s="3">
        <f t="shared" si="0"/>
        <v>413.51553366425821</v>
      </c>
      <c r="J12" s="3">
        <f t="shared" si="0"/>
        <v>595.43477010943525</v>
      </c>
      <c r="K12" s="3">
        <f t="shared" si="0"/>
        <v>0</v>
      </c>
      <c r="M12" s="45" t="s">
        <v>30</v>
      </c>
      <c r="N12" s="3">
        <f t="shared" si="1"/>
        <v>348.88935737968836</v>
      </c>
      <c r="O12" s="3">
        <f t="shared" si="2"/>
        <v>413.51553366425821</v>
      </c>
      <c r="P12" s="3">
        <f t="shared" si="3"/>
        <v>595.43477010943525</v>
      </c>
      <c r="Q12" s="3">
        <f t="shared" si="4"/>
        <v>0</v>
      </c>
      <c r="S12" s="45" t="s">
        <v>30</v>
      </c>
      <c r="T12" s="3">
        <f t="shared" si="5"/>
        <v>348.88935737968836</v>
      </c>
      <c r="U12" s="3">
        <f t="shared" si="6"/>
        <v>413.51553366425821</v>
      </c>
      <c r="V12" s="3">
        <f t="shared" si="7"/>
        <v>595.43477010943525</v>
      </c>
      <c r="W12" s="3">
        <f t="shared" si="8"/>
        <v>0</v>
      </c>
      <c r="Y12" s="45" t="s">
        <v>30</v>
      </c>
      <c r="Z12" s="3">
        <f t="shared" si="9"/>
        <v>348.88935737968836</v>
      </c>
      <c r="AA12" s="3">
        <f t="shared" si="10"/>
        <v>413.51553366425821</v>
      </c>
      <c r="AB12" s="3">
        <f t="shared" si="11"/>
        <v>595.43477010943525</v>
      </c>
      <c r="AC12" s="3">
        <f t="shared" si="12"/>
        <v>0</v>
      </c>
      <c r="AE12" s="45" t="s">
        <v>30</v>
      </c>
      <c r="AF12" s="3">
        <f t="shared" si="13"/>
        <v>348.88935737968836</v>
      </c>
      <c r="AG12" s="3">
        <f t="shared" si="14"/>
        <v>413.51553366425821</v>
      </c>
      <c r="AH12" s="3">
        <f t="shared" si="15"/>
        <v>595.43477010943525</v>
      </c>
      <c r="AI12" s="3">
        <f t="shared" si="16"/>
        <v>0</v>
      </c>
      <c r="AK12" s="45" t="s">
        <v>30</v>
      </c>
      <c r="AL12" s="3">
        <f t="shared" si="17"/>
        <v>348.88935737968836</v>
      </c>
      <c r="AM12" s="3">
        <f t="shared" si="18"/>
        <v>413.51553366425821</v>
      </c>
      <c r="AN12" s="3">
        <f t="shared" si="19"/>
        <v>595.43477010943525</v>
      </c>
      <c r="AO12" s="3">
        <f t="shared" si="20"/>
        <v>0</v>
      </c>
    </row>
    <row r="13" spans="1:41" x14ac:dyDescent="0.2">
      <c r="A13" s="45" t="s">
        <v>29</v>
      </c>
      <c r="B13" s="3">
        <f>'Key formula data'!B12</f>
        <v>256.20484121356151</v>
      </c>
      <c r="C13" s="3">
        <f>'Key formula data'!C12</f>
        <v>344.97958870766814</v>
      </c>
      <c r="D13" s="3">
        <f>'Key formula data'!D12</f>
        <v>425.47482607279068</v>
      </c>
      <c r="E13" s="3">
        <f>'Key formula data'!E12</f>
        <v>683.97953121107003</v>
      </c>
      <c r="G13" s="45" t="s">
        <v>29</v>
      </c>
      <c r="H13" s="3">
        <f t="shared" si="21"/>
        <v>256.20484121356151</v>
      </c>
      <c r="I13" s="3">
        <f t="shared" si="0"/>
        <v>344.97958870766814</v>
      </c>
      <c r="J13" s="3">
        <f t="shared" si="0"/>
        <v>425.47482607279068</v>
      </c>
      <c r="K13" s="3">
        <f t="shared" si="0"/>
        <v>683.97953121107003</v>
      </c>
      <c r="M13" s="45" t="s">
        <v>29</v>
      </c>
      <c r="N13" s="3">
        <f t="shared" si="1"/>
        <v>256.20484121356151</v>
      </c>
      <c r="O13" s="3">
        <f t="shared" si="2"/>
        <v>344.97958870766814</v>
      </c>
      <c r="P13" s="3">
        <f t="shared" si="3"/>
        <v>425.47482607279068</v>
      </c>
      <c r="Q13" s="3">
        <f t="shared" si="4"/>
        <v>683.97953121107003</v>
      </c>
      <c r="S13" s="45" t="s">
        <v>29</v>
      </c>
      <c r="T13" s="3">
        <f t="shared" si="5"/>
        <v>256.20484121356151</v>
      </c>
      <c r="U13" s="3">
        <f t="shared" si="6"/>
        <v>344.97958870766814</v>
      </c>
      <c r="V13" s="3">
        <f t="shared" si="7"/>
        <v>425.47482607279068</v>
      </c>
      <c r="W13" s="3">
        <f t="shared" si="8"/>
        <v>683.97953121107003</v>
      </c>
      <c r="Y13" s="45" t="s">
        <v>29</v>
      </c>
      <c r="Z13" s="3">
        <f t="shared" si="9"/>
        <v>256.20484121356151</v>
      </c>
      <c r="AA13" s="3">
        <f t="shared" si="10"/>
        <v>344.97958870766814</v>
      </c>
      <c r="AB13" s="3">
        <f t="shared" si="11"/>
        <v>425.47482607279068</v>
      </c>
      <c r="AC13" s="3">
        <f t="shared" si="12"/>
        <v>683.97953121107003</v>
      </c>
      <c r="AE13" s="45" t="s">
        <v>29</v>
      </c>
      <c r="AF13" s="3">
        <f t="shared" si="13"/>
        <v>256.20484121356151</v>
      </c>
      <c r="AG13" s="3">
        <f t="shared" si="14"/>
        <v>344.97958870766814</v>
      </c>
      <c r="AH13" s="3">
        <f t="shared" si="15"/>
        <v>425.47482607279068</v>
      </c>
      <c r="AI13" s="3">
        <f t="shared" si="16"/>
        <v>683.97953121107003</v>
      </c>
      <c r="AK13" s="45" t="s">
        <v>29</v>
      </c>
      <c r="AL13" s="3">
        <f t="shared" si="17"/>
        <v>256.20484121356151</v>
      </c>
      <c r="AM13" s="3">
        <f t="shared" si="18"/>
        <v>344.97958870766814</v>
      </c>
      <c r="AN13" s="3">
        <f t="shared" si="19"/>
        <v>425.47482607279068</v>
      </c>
      <c r="AO13" s="3">
        <f t="shared" si="20"/>
        <v>683.97953121107003</v>
      </c>
    </row>
    <row r="14" spans="1:41" x14ac:dyDescent="0.2">
      <c r="A14" s="45" t="s">
        <v>28</v>
      </c>
      <c r="B14" s="3">
        <f>'Key formula data'!B13</f>
        <v>341.29980642811967</v>
      </c>
      <c r="C14" s="3">
        <f>'Key formula data'!C13</f>
        <v>418.57523429863733</v>
      </c>
      <c r="D14" s="3">
        <f>'Key formula data'!D13</f>
        <v>574.04603560955979</v>
      </c>
      <c r="E14" s="3">
        <f>'Key formula data'!E13</f>
        <v>824.73120340379865</v>
      </c>
      <c r="G14" s="45" t="s">
        <v>28</v>
      </c>
      <c r="H14" s="3">
        <f t="shared" si="21"/>
        <v>341.29980642811967</v>
      </c>
      <c r="I14" s="3">
        <f t="shared" si="0"/>
        <v>418.57523429863733</v>
      </c>
      <c r="J14" s="3">
        <f t="shared" si="0"/>
        <v>574.04603560955979</v>
      </c>
      <c r="K14" s="3">
        <f t="shared" si="0"/>
        <v>824.73120340379865</v>
      </c>
      <c r="M14" s="45" t="s">
        <v>28</v>
      </c>
      <c r="N14" s="3">
        <f t="shared" si="1"/>
        <v>341.29980642811967</v>
      </c>
      <c r="O14" s="3">
        <f t="shared" si="2"/>
        <v>418.57523429863733</v>
      </c>
      <c r="P14" s="3">
        <f t="shared" si="3"/>
        <v>574.04603560955979</v>
      </c>
      <c r="Q14" s="3">
        <f t="shared" si="4"/>
        <v>824.73120340379865</v>
      </c>
      <c r="S14" s="45" t="s">
        <v>28</v>
      </c>
      <c r="T14" s="3">
        <f t="shared" si="5"/>
        <v>341.29980642811967</v>
      </c>
      <c r="U14" s="3">
        <f t="shared" si="6"/>
        <v>418.57523429863733</v>
      </c>
      <c r="V14" s="3">
        <f t="shared" si="7"/>
        <v>574.04603560955979</v>
      </c>
      <c r="W14" s="3">
        <f t="shared" si="8"/>
        <v>824.73120340379865</v>
      </c>
      <c r="Y14" s="45" t="s">
        <v>28</v>
      </c>
      <c r="Z14" s="3">
        <f t="shared" si="9"/>
        <v>341.29980642811967</v>
      </c>
      <c r="AA14" s="3">
        <f t="shared" si="10"/>
        <v>418.57523429863733</v>
      </c>
      <c r="AB14" s="3">
        <f t="shared" si="11"/>
        <v>574.04603560955979</v>
      </c>
      <c r="AC14" s="3">
        <f t="shared" si="12"/>
        <v>824.73120340379865</v>
      </c>
      <c r="AE14" s="45" t="s">
        <v>28</v>
      </c>
      <c r="AF14" s="3">
        <f t="shared" si="13"/>
        <v>341.29980642811967</v>
      </c>
      <c r="AG14" s="3">
        <f t="shared" si="14"/>
        <v>418.57523429863733</v>
      </c>
      <c r="AH14" s="3">
        <f t="shared" si="15"/>
        <v>574.04603560955979</v>
      </c>
      <c r="AI14" s="3">
        <f t="shared" si="16"/>
        <v>824.73120340379865</v>
      </c>
      <c r="AK14" s="45" t="s">
        <v>28</v>
      </c>
      <c r="AL14" s="3">
        <f t="shared" si="17"/>
        <v>341.29980642811967</v>
      </c>
      <c r="AM14" s="3">
        <f t="shared" si="18"/>
        <v>418.57523429863733</v>
      </c>
      <c r="AN14" s="3">
        <f t="shared" si="19"/>
        <v>574.04603560955979</v>
      </c>
      <c r="AO14" s="3">
        <f t="shared" si="20"/>
        <v>824.73120340379865</v>
      </c>
    </row>
    <row r="15" spans="1:41" x14ac:dyDescent="0.2">
      <c r="A15" s="45" t="s">
        <v>27</v>
      </c>
      <c r="B15" s="3">
        <f>'Key formula data'!B14</f>
        <v>298.98231021331236</v>
      </c>
      <c r="C15" s="3">
        <f>'Key formula data'!C14</f>
        <v>368.66818713226132</v>
      </c>
      <c r="D15" s="3">
        <f>'Key formula data'!D14</f>
        <v>458.36288019625505</v>
      </c>
      <c r="E15" s="3">
        <f>'Key formula data'!E14</f>
        <v>652.93136822737983</v>
      </c>
      <c r="G15" s="45" t="s">
        <v>27</v>
      </c>
      <c r="H15" s="3">
        <f t="shared" si="21"/>
        <v>298.98231021331236</v>
      </c>
      <c r="I15" s="3">
        <f t="shared" si="0"/>
        <v>368.66818713226132</v>
      </c>
      <c r="J15" s="3">
        <f t="shared" si="0"/>
        <v>458.36288019625505</v>
      </c>
      <c r="K15" s="3">
        <f t="shared" si="0"/>
        <v>652.93136822737983</v>
      </c>
      <c r="M15" s="45" t="s">
        <v>27</v>
      </c>
      <c r="N15" s="3">
        <f t="shared" si="1"/>
        <v>298.98231021331236</v>
      </c>
      <c r="O15" s="3">
        <f t="shared" si="2"/>
        <v>368.66818713226132</v>
      </c>
      <c r="P15" s="3">
        <f t="shared" si="3"/>
        <v>458.36288019625505</v>
      </c>
      <c r="Q15" s="3">
        <f t="shared" si="4"/>
        <v>652.93136822737983</v>
      </c>
      <c r="S15" s="45" t="s">
        <v>27</v>
      </c>
      <c r="T15" s="3">
        <f t="shared" si="5"/>
        <v>298.98231021331236</v>
      </c>
      <c r="U15" s="3">
        <f t="shared" si="6"/>
        <v>368.66818713226132</v>
      </c>
      <c r="V15" s="3">
        <f t="shared" si="7"/>
        <v>458.36288019625505</v>
      </c>
      <c r="W15" s="3">
        <f t="shared" si="8"/>
        <v>652.93136822737983</v>
      </c>
      <c r="Y15" s="45" t="s">
        <v>27</v>
      </c>
      <c r="Z15" s="3">
        <f t="shared" si="9"/>
        <v>298.98231021331236</v>
      </c>
      <c r="AA15" s="3">
        <f t="shared" si="10"/>
        <v>368.66818713226132</v>
      </c>
      <c r="AB15" s="3">
        <f t="shared" si="11"/>
        <v>458.36288019625505</v>
      </c>
      <c r="AC15" s="3">
        <f t="shared" si="12"/>
        <v>652.93136822737983</v>
      </c>
      <c r="AE15" s="45" t="s">
        <v>27</v>
      </c>
      <c r="AF15" s="3">
        <f t="shared" si="13"/>
        <v>298.98231021331236</v>
      </c>
      <c r="AG15" s="3">
        <f t="shared" si="14"/>
        <v>368.66818713226132</v>
      </c>
      <c r="AH15" s="3">
        <f t="shared" si="15"/>
        <v>458.36288019625505</v>
      </c>
      <c r="AI15" s="3">
        <f t="shared" si="16"/>
        <v>652.93136822737983</v>
      </c>
      <c r="AK15" s="45" t="s">
        <v>27</v>
      </c>
      <c r="AL15" s="3">
        <f t="shared" si="17"/>
        <v>298.98231021331236</v>
      </c>
      <c r="AM15" s="3">
        <f t="shared" si="18"/>
        <v>368.66818713226132</v>
      </c>
      <c r="AN15" s="3">
        <f t="shared" si="19"/>
        <v>458.36288019625505</v>
      </c>
      <c r="AO15" s="3">
        <f t="shared" si="20"/>
        <v>652.93136822737983</v>
      </c>
    </row>
    <row r="16" spans="1:41" x14ac:dyDescent="0.2">
      <c r="A16" s="45" t="s">
        <v>33</v>
      </c>
      <c r="B16" s="3">
        <f>'Key formula data'!B15</f>
        <v>284.26318109511857</v>
      </c>
      <c r="C16" s="3">
        <f>'Key formula data'!C15</f>
        <v>321.98094946049025</v>
      </c>
      <c r="D16" s="3">
        <f>'Key formula data'!D15</f>
        <v>419.72516626099622</v>
      </c>
      <c r="E16" s="3">
        <f>'Key formula data'!E15</f>
        <v>632.46257929739158</v>
      </c>
      <c r="G16" s="45" t="s">
        <v>33</v>
      </c>
      <c r="H16" s="3">
        <f t="shared" si="21"/>
        <v>284.26318109511857</v>
      </c>
      <c r="I16" s="3">
        <f t="shared" si="0"/>
        <v>321.98094946049025</v>
      </c>
      <c r="J16" s="3">
        <f t="shared" si="0"/>
        <v>419.72516626099622</v>
      </c>
      <c r="K16" s="3">
        <f t="shared" si="0"/>
        <v>632.46257929739158</v>
      </c>
      <c r="M16" s="45" t="s">
        <v>33</v>
      </c>
      <c r="N16" s="3">
        <f t="shared" si="1"/>
        <v>284.26318109511857</v>
      </c>
      <c r="O16" s="3">
        <f t="shared" si="2"/>
        <v>321.98094946049025</v>
      </c>
      <c r="P16" s="3">
        <f t="shared" si="3"/>
        <v>419.72516626099622</v>
      </c>
      <c r="Q16" s="3">
        <f t="shared" si="4"/>
        <v>632.46257929739158</v>
      </c>
      <c r="S16" s="45" t="s">
        <v>33</v>
      </c>
      <c r="T16" s="3">
        <f t="shared" si="5"/>
        <v>284.26318109511857</v>
      </c>
      <c r="U16" s="3">
        <f t="shared" si="6"/>
        <v>321.98094946049025</v>
      </c>
      <c r="V16" s="3">
        <f t="shared" si="7"/>
        <v>419.72516626099622</v>
      </c>
      <c r="W16" s="3">
        <f t="shared" si="8"/>
        <v>632.46257929739158</v>
      </c>
      <c r="Y16" s="45" t="s">
        <v>33</v>
      </c>
      <c r="Z16" s="3">
        <f t="shared" si="9"/>
        <v>284.26318109511857</v>
      </c>
      <c r="AA16" s="3">
        <f t="shared" si="10"/>
        <v>321.98094946049025</v>
      </c>
      <c r="AB16" s="3">
        <f t="shared" si="11"/>
        <v>419.72516626099622</v>
      </c>
      <c r="AC16" s="3">
        <f t="shared" si="12"/>
        <v>632.46257929739158</v>
      </c>
      <c r="AE16" s="45" t="s">
        <v>33</v>
      </c>
      <c r="AF16" s="3">
        <f t="shared" si="13"/>
        <v>284.26318109511857</v>
      </c>
      <c r="AG16" s="3">
        <f t="shared" si="14"/>
        <v>321.98094946049025</v>
      </c>
      <c r="AH16" s="3">
        <f t="shared" si="15"/>
        <v>419.72516626099622</v>
      </c>
      <c r="AI16" s="3">
        <f t="shared" si="16"/>
        <v>632.46257929739158</v>
      </c>
      <c r="AK16" s="45" t="s">
        <v>33</v>
      </c>
      <c r="AL16" s="3">
        <f t="shared" si="17"/>
        <v>284.26318109511857</v>
      </c>
      <c r="AM16" s="3">
        <f t="shared" si="18"/>
        <v>321.98094946049025</v>
      </c>
      <c r="AN16" s="3">
        <f t="shared" si="19"/>
        <v>419.72516626099622</v>
      </c>
      <c r="AO16" s="3">
        <f t="shared" si="20"/>
        <v>632.46257929739158</v>
      </c>
    </row>
    <row r="17" spans="1:41" x14ac:dyDescent="0.2">
      <c r="A17" s="45" t="s">
        <v>32</v>
      </c>
      <c r="B17" s="3">
        <f>'Key formula data'!B16</f>
        <v>278.05354849838051</v>
      </c>
      <c r="C17" s="3">
        <f>'Key formula data'!C16</f>
        <v>343.82965674530925</v>
      </c>
      <c r="D17" s="3">
        <f>'Key formula data'!D16</f>
        <v>482.74143779826363</v>
      </c>
      <c r="E17" s="3">
        <f>'Key formula data'!E16</f>
        <v>689.72919102286448</v>
      </c>
      <c r="G17" s="45" t="s">
        <v>32</v>
      </c>
      <c r="H17" s="3">
        <f t="shared" si="21"/>
        <v>278.05354849838051</v>
      </c>
      <c r="I17" s="3">
        <f t="shared" si="0"/>
        <v>343.82965674530925</v>
      </c>
      <c r="J17" s="3">
        <f t="shared" si="0"/>
        <v>482.74143779826363</v>
      </c>
      <c r="K17" s="3">
        <f t="shared" si="0"/>
        <v>689.72919102286448</v>
      </c>
      <c r="M17" s="45" t="s">
        <v>32</v>
      </c>
      <c r="N17" s="3">
        <f t="shared" si="1"/>
        <v>278.05354849838051</v>
      </c>
      <c r="O17" s="3">
        <f t="shared" si="2"/>
        <v>343.82965674530925</v>
      </c>
      <c r="P17" s="3">
        <f t="shared" si="3"/>
        <v>482.74143779826363</v>
      </c>
      <c r="Q17" s="3">
        <f t="shared" si="4"/>
        <v>689.72919102286448</v>
      </c>
      <c r="S17" s="45" t="s">
        <v>32</v>
      </c>
      <c r="T17" s="3">
        <f t="shared" si="5"/>
        <v>278.05354849838051</v>
      </c>
      <c r="U17" s="3">
        <f t="shared" si="6"/>
        <v>343.82965674530925</v>
      </c>
      <c r="V17" s="3">
        <f t="shared" si="7"/>
        <v>482.74143779826363</v>
      </c>
      <c r="W17" s="3">
        <f t="shared" si="8"/>
        <v>689.72919102286448</v>
      </c>
      <c r="Y17" s="45" t="s">
        <v>32</v>
      </c>
      <c r="Z17" s="3">
        <f t="shared" si="9"/>
        <v>278.05354849838051</v>
      </c>
      <c r="AA17" s="3">
        <f t="shared" si="10"/>
        <v>343.82965674530925</v>
      </c>
      <c r="AB17" s="3">
        <f t="shared" si="11"/>
        <v>482.74143779826363</v>
      </c>
      <c r="AC17" s="3">
        <f t="shared" si="12"/>
        <v>689.72919102286448</v>
      </c>
      <c r="AE17" s="45" t="s">
        <v>32</v>
      </c>
      <c r="AF17" s="3">
        <f t="shared" si="13"/>
        <v>278.05354849838051</v>
      </c>
      <c r="AG17" s="3">
        <f t="shared" si="14"/>
        <v>343.82965674530925</v>
      </c>
      <c r="AH17" s="3">
        <f t="shared" si="15"/>
        <v>482.74143779826363</v>
      </c>
      <c r="AI17" s="3">
        <f t="shared" si="16"/>
        <v>689.72919102286448</v>
      </c>
      <c r="AK17" s="45" t="s">
        <v>32</v>
      </c>
      <c r="AL17" s="3">
        <f t="shared" si="17"/>
        <v>278.05354849838051</v>
      </c>
      <c r="AM17" s="3">
        <f t="shared" si="18"/>
        <v>343.82965674530925</v>
      </c>
      <c r="AN17" s="3">
        <f t="shared" si="19"/>
        <v>482.74143779826363</v>
      </c>
      <c r="AO17" s="3">
        <f t="shared" si="20"/>
        <v>689.72919102286448</v>
      </c>
    </row>
    <row r="18" spans="1:41" x14ac:dyDescent="0.2">
      <c r="A18" s="45" t="s">
        <v>31</v>
      </c>
      <c r="B18" s="3">
        <f>'Key formula data'!B17</f>
        <v>278.97349406826766</v>
      </c>
      <c r="C18" s="3">
        <f>'Key formula data'!C17</f>
        <v>344.74960231519634</v>
      </c>
      <c r="D18" s="3">
        <f>'Key formula data'!D17</f>
        <v>520.68919255610706</v>
      </c>
      <c r="E18" s="3">
        <f>'Key formula data'!E17</f>
        <v>850.94965214558135</v>
      </c>
      <c r="G18" s="45" t="s">
        <v>31</v>
      </c>
      <c r="H18" s="3">
        <f t="shared" si="21"/>
        <v>278.97349406826766</v>
      </c>
      <c r="I18" s="3">
        <f t="shared" si="0"/>
        <v>344.74960231519634</v>
      </c>
      <c r="J18" s="3">
        <f t="shared" si="0"/>
        <v>520.68919255610706</v>
      </c>
      <c r="K18" s="3">
        <f t="shared" si="0"/>
        <v>850.94965214558135</v>
      </c>
      <c r="M18" s="45" t="s">
        <v>31</v>
      </c>
      <c r="N18" s="3">
        <f t="shared" si="1"/>
        <v>278.97349406826766</v>
      </c>
      <c r="O18" s="3">
        <f t="shared" si="2"/>
        <v>344.74960231519634</v>
      </c>
      <c r="P18" s="3">
        <f t="shared" si="3"/>
        <v>520.68919255610706</v>
      </c>
      <c r="Q18" s="3">
        <f t="shared" si="4"/>
        <v>850.94965214558135</v>
      </c>
      <c r="S18" s="45" t="s">
        <v>31</v>
      </c>
      <c r="T18" s="3">
        <f t="shared" si="5"/>
        <v>278.97349406826766</v>
      </c>
      <c r="U18" s="3">
        <f t="shared" si="6"/>
        <v>344.74960231519634</v>
      </c>
      <c r="V18" s="3">
        <f t="shared" si="7"/>
        <v>520.68919255610706</v>
      </c>
      <c r="W18" s="3">
        <f t="shared" si="8"/>
        <v>850.94965214558135</v>
      </c>
      <c r="Y18" s="45" t="s">
        <v>31</v>
      </c>
      <c r="Z18" s="3">
        <f t="shared" si="9"/>
        <v>278.97349406826766</v>
      </c>
      <c r="AA18" s="3">
        <f t="shared" si="10"/>
        <v>344.74960231519634</v>
      </c>
      <c r="AB18" s="3">
        <f t="shared" si="11"/>
        <v>520.68919255610706</v>
      </c>
      <c r="AC18" s="3">
        <f t="shared" si="12"/>
        <v>850.94965214558135</v>
      </c>
      <c r="AE18" s="45" t="s">
        <v>31</v>
      </c>
      <c r="AF18" s="3">
        <f t="shared" si="13"/>
        <v>278.97349406826766</v>
      </c>
      <c r="AG18" s="3">
        <f t="shared" si="14"/>
        <v>344.74960231519634</v>
      </c>
      <c r="AH18" s="3">
        <f t="shared" si="15"/>
        <v>520.68919255610706</v>
      </c>
      <c r="AI18" s="3">
        <f t="shared" si="16"/>
        <v>850.94965214558135</v>
      </c>
      <c r="AK18" s="45" t="s">
        <v>31</v>
      </c>
      <c r="AL18" s="3">
        <f t="shared" si="17"/>
        <v>278.97349406826766</v>
      </c>
      <c r="AM18" s="3">
        <f t="shared" si="18"/>
        <v>344.74960231519634</v>
      </c>
      <c r="AN18" s="3">
        <f t="shared" si="19"/>
        <v>520.68919255610706</v>
      </c>
      <c r="AO18" s="3">
        <f t="shared" si="20"/>
        <v>850.94965214558135</v>
      </c>
    </row>
    <row r="19" spans="1:41" ht="13.5" thickBot="1" x14ac:dyDescent="0.25">
      <c r="A19" s="199"/>
    </row>
    <row r="20" spans="1:41" ht="28.5" thickBot="1" x14ac:dyDescent="0.45">
      <c r="A20" s="367">
        <v>0.4</v>
      </c>
      <c r="B20" s="368"/>
      <c r="C20" s="368"/>
      <c r="D20" s="368"/>
      <c r="E20" s="369"/>
      <c r="G20" s="367">
        <v>0.5</v>
      </c>
      <c r="H20" s="368"/>
      <c r="I20" s="368"/>
      <c r="J20" s="368"/>
      <c r="K20" s="369"/>
      <c r="L20" s="118"/>
      <c r="M20" s="367">
        <v>0.6</v>
      </c>
      <c r="N20" s="368"/>
      <c r="O20" s="368"/>
      <c r="P20" s="368"/>
      <c r="Q20" s="369"/>
      <c r="R20" s="118"/>
      <c r="S20" s="367">
        <v>0.65</v>
      </c>
      <c r="T20" s="368"/>
      <c r="U20" s="368"/>
      <c r="V20" s="368"/>
      <c r="W20" s="369"/>
      <c r="X20" s="118"/>
      <c r="Y20" s="367">
        <v>0.7</v>
      </c>
      <c r="Z20" s="368"/>
      <c r="AA20" s="368"/>
      <c r="AB20" s="368"/>
      <c r="AC20" s="369"/>
      <c r="AD20" s="118"/>
      <c r="AE20" s="367">
        <v>0.8</v>
      </c>
      <c r="AF20" s="368"/>
      <c r="AG20" s="368"/>
      <c r="AH20" s="368"/>
      <c r="AI20" s="369"/>
      <c r="AJ20" s="118"/>
      <c r="AK20" s="367">
        <v>1</v>
      </c>
      <c r="AL20" s="368"/>
      <c r="AM20" s="368"/>
      <c r="AN20" s="368"/>
      <c r="AO20" s="369"/>
    </row>
    <row r="22" spans="1:41" x14ac:dyDescent="0.2">
      <c r="A22" s="44" t="s">
        <v>305</v>
      </c>
      <c r="B22" s="41"/>
      <c r="C22" s="5"/>
      <c r="D22" s="5"/>
      <c r="E22" s="5"/>
      <c r="G22" s="44" t="s">
        <v>112</v>
      </c>
      <c r="H22" s="41"/>
      <c r="I22" s="5"/>
      <c r="J22" s="5"/>
      <c r="K22" s="5"/>
      <c r="M22" s="44" t="s">
        <v>108</v>
      </c>
      <c r="N22" s="41"/>
      <c r="O22" s="5"/>
      <c r="P22" s="5"/>
      <c r="Q22" s="5"/>
      <c r="S22" s="44" t="s">
        <v>304</v>
      </c>
      <c r="T22" s="41"/>
      <c r="U22" s="5"/>
      <c r="V22" s="5"/>
      <c r="W22" s="5"/>
      <c r="Y22" s="44" t="s">
        <v>109</v>
      </c>
      <c r="Z22" s="41"/>
      <c r="AA22" s="5"/>
      <c r="AB22" s="5"/>
      <c r="AC22" s="5"/>
      <c r="AE22" s="44" t="s">
        <v>110</v>
      </c>
      <c r="AF22" s="41"/>
      <c r="AG22" s="5"/>
      <c r="AH22" s="5"/>
      <c r="AI22" s="5"/>
      <c r="AK22" s="44" t="s">
        <v>111</v>
      </c>
      <c r="AL22" s="41"/>
      <c r="AM22" s="5"/>
      <c r="AN22" s="5"/>
      <c r="AO22" s="5"/>
    </row>
    <row r="23" spans="1:41" x14ac:dyDescent="0.2">
      <c r="A23" s="45" t="s">
        <v>104</v>
      </c>
      <c r="B23" s="2">
        <v>1</v>
      </c>
      <c r="C23" s="2">
        <v>2</v>
      </c>
      <c r="D23" s="2">
        <v>3</v>
      </c>
      <c r="E23" s="2" t="s">
        <v>24</v>
      </c>
      <c r="G23" s="45" t="s">
        <v>104</v>
      </c>
      <c r="H23" s="2">
        <v>1</v>
      </c>
      <c r="I23" s="2">
        <v>2</v>
      </c>
      <c r="J23" s="2">
        <v>3</v>
      </c>
      <c r="K23" s="2" t="s">
        <v>24</v>
      </c>
      <c r="M23" s="45" t="s">
        <v>104</v>
      </c>
      <c r="N23" s="2">
        <v>1</v>
      </c>
      <c r="O23" s="2">
        <v>2</v>
      </c>
      <c r="P23" s="2">
        <v>3</v>
      </c>
      <c r="Q23" s="2" t="s">
        <v>24</v>
      </c>
      <c r="S23" s="45" t="s">
        <v>104</v>
      </c>
      <c r="T23" s="2">
        <v>1</v>
      </c>
      <c r="U23" s="2">
        <v>2</v>
      </c>
      <c r="V23" s="2">
        <v>3</v>
      </c>
      <c r="W23" s="2" t="s">
        <v>24</v>
      </c>
      <c r="Y23" s="45" t="s">
        <v>104</v>
      </c>
      <c r="Z23" s="2">
        <v>1</v>
      </c>
      <c r="AA23" s="2">
        <v>2</v>
      </c>
      <c r="AB23" s="2">
        <v>3</v>
      </c>
      <c r="AC23" s="2" t="s">
        <v>24</v>
      </c>
      <c r="AE23" s="45" t="s">
        <v>104</v>
      </c>
      <c r="AF23" s="2">
        <v>1</v>
      </c>
      <c r="AG23" s="2">
        <v>2</v>
      </c>
      <c r="AH23" s="2">
        <v>3</v>
      </c>
      <c r="AI23" s="2" t="s">
        <v>24</v>
      </c>
      <c r="AK23" s="45" t="s">
        <v>104</v>
      </c>
      <c r="AL23" s="2">
        <v>1</v>
      </c>
      <c r="AM23" s="2">
        <v>2</v>
      </c>
      <c r="AN23" s="2">
        <v>3</v>
      </c>
      <c r="AO23" s="2" t="s">
        <v>24</v>
      </c>
    </row>
    <row r="24" spans="1:41" x14ac:dyDescent="0.2">
      <c r="A24" s="45" t="s">
        <v>36</v>
      </c>
      <c r="B24" s="3">
        <f>B9*$A$20</f>
        <v>141.48762864863829</v>
      </c>
      <c r="C24" s="3">
        <f>C9*$A$20</f>
        <v>179.38938612798745</v>
      </c>
      <c r="D24" s="3">
        <f>D9*$A$20</f>
        <v>229.2504360158691</v>
      </c>
      <c r="E24" s="3">
        <f>E9*$A$20</f>
        <v>272.11989957260863</v>
      </c>
      <c r="G24" s="45" t="s">
        <v>36</v>
      </c>
      <c r="H24" s="3">
        <f>H9*$G$20</f>
        <v>176.85953581079787</v>
      </c>
      <c r="I24" s="3">
        <f>I9*$G$20</f>
        <v>224.23673265998428</v>
      </c>
      <c r="J24" s="3">
        <f>J9*$G$20</f>
        <v>286.56304501983635</v>
      </c>
      <c r="K24" s="3">
        <f>K9*$G$20</f>
        <v>340.14987446576077</v>
      </c>
      <c r="M24" s="45" t="s">
        <v>36</v>
      </c>
      <c r="N24" s="3">
        <f>N9*$M$20</f>
        <v>212.23144297295744</v>
      </c>
      <c r="O24" s="3">
        <f>O9*$M$20</f>
        <v>269.08407919198112</v>
      </c>
      <c r="P24" s="3">
        <f>P9*$M$20</f>
        <v>343.87565402380363</v>
      </c>
      <c r="Q24" s="3">
        <f>Q9*$M$20</f>
        <v>408.17984935891292</v>
      </c>
      <c r="S24" s="45" t="s">
        <v>36</v>
      </c>
      <c r="T24" s="3">
        <f>T9*$S$20</f>
        <v>229.91739655403723</v>
      </c>
      <c r="U24" s="3">
        <f>U9*$S$20</f>
        <v>291.50775245797956</v>
      </c>
      <c r="V24" s="3">
        <f>V9*$S$20</f>
        <v>372.53195852578727</v>
      </c>
      <c r="W24" s="3">
        <f>W9*$S$20</f>
        <v>442.19483680548905</v>
      </c>
      <c r="Y24" s="45" t="s">
        <v>36</v>
      </c>
      <c r="Z24" s="3">
        <f>Z9*$Y$20</f>
        <v>247.60335013511698</v>
      </c>
      <c r="AA24" s="3">
        <f>AA9*$Y$20</f>
        <v>313.93142572397795</v>
      </c>
      <c r="AB24" s="3">
        <f>AB9*$Y$20</f>
        <v>401.18826302777086</v>
      </c>
      <c r="AC24" s="3">
        <f>AC9*$Y$20</f>
        <v>476.20982425206506</v>
      </c>
      <c r="AE24" s="45" t="s">
        <v>36</v>
      </c>
      <c r="AF24" s="3">
        <f>AF9*$AE$20</f>
        <v>282.97525729727658</v>
      </c>
      <c r="AG24" s="3">
        <f>AG9*$AE$20</f>
        <v>358.7787722559749</v>
      </c>
      <c r="AH24" s="3">
        <f>AH9*$AE$20</f>
        <v>458.5008720317382</v>
      </c>
      <c r="AI24" s="3">
        <f>AI9*$AE$20</f>
        <v>544.23979914521726</v>
      </c>
      <c r="AK24" s="45" t="s">
        <v>36</v>
      </c>
      <c r="AL24" s="3">
        <f>AL9*$AK$20</f>
        <v>353.71907162159573</v>
      </c>
      <c r="AM24" s="3">
        <f>AM9*$AK$20</f>
        <v>448.47346531996857</v>
      </c>
      <c r="AN24" s="3">
        <f>AN9*$AK$20</f>
        <v>573.1260900396727</v>
      </c>
      <c r="AO24" s="3">
        <f>AO9*$AK$20</f>
        <v>680.29974893152155</v>
      </c>
    </row>
    <row r="25" spans="1:41" x14ac:dyDescent="0.2">
      <c r="A25" s="45" t="s">
        <v>26</v>
      </c>
      <c r="B25" s="3">
        <f t="shared" ref="B25:E33" si="22">B10*$A$20</f>
        <v>158.13864346359509</v>
      </c>
      <c r="C25" s="3">
        <f t="shared" si="22"/>
        <v>207.26373689556704</v>
      </c>
      <c r="D25" s="3">
        <f t="shared" si="22"/>
        <v>288.0349579316557</v>
      </c>
      <c r="E25" s="3">
        <f t="shared" si="22"/>
        <v>271.10795944573277</v>
      </c>
      <c r="G25" s="45" t="s">
        <v>26</v>
      </c>
      <c r="H25" s="3">
        <f t="shared" ref="H25:K33" si="23">H10*$G$20</f>
        <v>197.67330432949385</v>
      </c>
      <c r="I25" s="3">
        <f t="shared" si="23"/>
        <v>259.07967111945879</v>
      </c>
      <c r="J25" s="3">
        <f t="shared" si="23"/>
        <v>360.04369741456964</v>
      </c>
      <c r="K25" s="3">
        <f t="shared" si="23"/>
        <v>338.88494930716598</v>
      </c>
      <c r="M25" s="45" t="s">
        <v>26</v>
      </c>
      <c r="N25" s="3">
        <f t="shared" ref="N25:Q33" si="24">N10*$M$20</f>
        <v>237.2079651953926</v>
      </c>
      <c r="O25" s="3">
        <f t="shared" si="24"/>
        <v>310.89560534335055</v>
      </c>
      <c r="P25" s="3">
        <f t="shared" si="24"/>
        <v>432.05243689748357</v>
      </c>
      <c r="Q25" s="3">
        <f t="shared" si="24"/>
        <v>406.66193916859919</v>
      </c>
      <c r="S25" s="45" t="s">
        <v>26</v>
      </c>
      <c r="T25" s="3">
        <f t="shared" ref="T25:W33" si="25">T10*$S$20</f>
        <v>256.975295628342</v>
      </c>
      <c r="U25" s="3">
        <f t="shared" si="25"/>
        <v>336.80357245529643</v>
      </c>
      <c r="V25" s="3">
        <f t="shared" si="25"/>
        <v>468.05680663894054</v>
      </c>
      <c r="W25" s="3">
        <f t="shared" si="25"/>
        <v>440.55043409931579</v>
      </c>
      <c r="Y25" s="45" t="s">
        <v>26</v>
      </c>
      <c r="Z25" s="3">
        <f t="shared" ref="Z25:AC33" si="26">Z10*$Y$20</f>
        <v>276.74262606129139</v>
      </c>
      <c r="AA25" s="3">
        <f t="shared" si="26"/>
        <v>362.71153956724231</v>
      </c>
      <c r="AB25" s="3">
        <f t="shared" si="26"/>
        <v>504.06117638039746</v>
      </c>
      <c r="AC25" s="3">
        <f t="shared" si="26"/>
        <v>474.43892903003234</v>
      </c>
      <c r="AE25" s="45" t="s">
        <v>26</v>
      </c>
      <c r="AF25" s="3">
        <f t="shared" ref="AF25:AI33" si="27">AF10*$AE$20</f>
        <v>316.27728692719018</v>
      </c>
      <c r="AG25" s="3">
        <f t="shared" si="27"/>
        <v>414.52747379113407</v>
      </c>
      <c r="AH25" s="3">
        <f t="shared" si="27"/>
        <v>576.06991586331139</v>
      </c>
      <c r="AI25" s="3">
        <f t="shared" si="27"/>
        <v>542.21591889146555</v>
      </c>
      <c r="AK25" s="45" t="s">
        <v>26</v>
      </c>
      <c r="AL25" s="3">
        <f t="shared" ref="AL25:AO33" si="28">AL10*$AK$20</f>
        <v>395.34660865898769</v>
      </c>
      <c r="AM25" s="3">
        <f t="shared" si="28"/>
        <v>518.15934223891759</v>
      </c>
      <c r="AN25" s="3">
        <f t="shared" si="28"/>
        <v>720.08739482913927</v>
      </c>
      <c r="AO25" s="3">
        <f t="shared" si="28"/>
        <v>677.76989861433196</v>
      </c>
    </row>
    <row r="26" spans="1:41" x14ac:dyDescent="0.2">
      <c r="A26" s="45" t="s">
        <v>25</v>
      </c>
      <c r="B26" s="3">
        <f t="shared" si="22"/>
        <v>119.59292408532495</v>
      </c>
      <c r="C26" s="3">
        <f t="shared" si="22"/>
        <v>143.51150890238995</v>
      </c>
      <c r="D26" s="3">
        <f t="shared" si="22"/>
        <v>188.58884182685858</v>
      </c>
      <c r="E26" s="3">
        <f t="shared" si="22"/>
        <v>259.14866703720031</v>
      </c>
      <c r="G26" s="45" t="s">
        <v>25</v>
      </c>
      <c r="H26" s="3">
        <f t="shared" si="23"/>
        <v>149.49115510665618</v>
      </c>
      <c r="I26" s="3">
        <f t="shared" si="23"/>
        <v>179.38938612798742</v>
      </c>
      <c r="J26" s="3">
        <f t="shared" si="23"/>
        <v>235.73605228357323</v>
      </c>
      <c r="K26" s="3">
        <f t="shared" si="23"/>
        <v>323.93583379650039</v>
      </c>
      <c r="M26" s="45" t="s">
        <v>25</v>
      </c>
      <c r="N26" s="3">
        <f t="shared" si="24"/>
        <v>179.38938612798742</v>
      </c>
      <c r="O26" s="3">
        <f t="shared" si="24"/>
        <v>215.26726335358489</v>
      </c>
      <c r="P26" s="3">
        <f t="shared" si="24"/>
        <v>282.88326274028788</v>
      </c>
      <c r="Q26" s="3">
        <f t="shared" si="24"/>
        <v>388.72300055580047</v>
      </c>
      <c r="S26" s="45" t="s">
        <v>25</v>
      </c>
      <c r="T26" s="3">
        <f t="shared" si="25"/>
        <v>194.33850163865304</v>
      </c>
      <c r="U26" s="3">
        <f t="shared" si="25"/>
        <v>233.20620196638365</v>
      </c>
      <c r="V26" s="3">
        <f t="shared" si="25"/>
        <v>306.45686796864521</v>
      </c>
      <c r="W26" s="3">
        <f t="shared" si="25"/>
        <v>421.11658393545054</v>
      </c>
      <c r="Y26" s="45" t="s">
        <v>25</v>
      </c>
      <c r="Z26" s="3">
        <f t="shared" si="26"/>
        <v>209.28761714931863</v>
      </c>
      <c r="AA26" s="3">
        <f t="shared" si="26"/>
        <v>251.14514057918237</v>
      </c>
      <c r="AB26" s="3">
        <f t="shared" si="26"/>
        <v>330.03047319700249</v>
      </c>
      <c r="AC26" s="3">
        <f t="shared" si="26"/>
        <v>453.51016731510049</v>
      </c>
      <c r="AE26" s="45" t="s">
        <v>25</v>
      </c>
      <c r="AF26" s="3">
        <f t="shared" si="27"/>
        <v>239.1858481706499</v>
      </c>
      <c r="AG26" s="3">
        <f t="shared" si="27"/>
        <v>287.0230178047799</v>
      </c>
      <c r="AH26" s="3">
        <f t="shared" si="27"/>
        <v>377.17768365371717</v>
      </c>
      <c r="AI26" s="3">
        <f t="shared" si="27"/>
        <v>518.29733407440062</v>
      </c>
      <c r="AK26" s="45" t="s">
        <v>25</v>
      </c>
      <c r="AL26" s="3">
        <f t="shared" si="28"/>
        <v>298.98231021331236</v>
      </c>
      <c r="AM26" s="3">
        <f t="shared" si="28"/>
        <v>358.77877225597484</v>
      </c>
      <c r="AN26" s="3">
        <f t="shared" si="28"/>
        <v>471.47210456714646</v>
      </c>
      <c r="AO26" s="3">
        <f t="shared" si="28"/>
        <v>647.87166759300078</v>
      </c>
    </row>
    <row r="27" spans="1:41" x14ac:dyDescent="0.2">
      <c r="A27" s="45" t="s">
        <v>30</v>
      </c>
      <c r="B27" s="3">
        <f t="shared" si="22"/>
        <v>139.55574295187535</v>
      </c>
      <c r="C27" s="3">
        <f t="shared" si="22"/>
        <v>165.4062134657033</v>
      </c>
      <c r="D27" s="3">
        <f t="shared" si="22"/>
        <v>238.17390804377411</v>
      </c>
      <c r="E27" s="3">
        <f t="shared" si="22"/>
        <v>0</v>
      </c>
      <c r="G27" s="45" t="s">
        <v>30</v>
      </c>
      <c r="H27" s="3">
        <f t="shared" si="23"/>
        <v>174.44467868984418</v>
      </c>
      <c r="I27" s="3">
        <f t="shared" si="23"/>
        <v>206.75776683212911</v>
      </c>
      <c r="J27" s="3">
        <f t="shared" si="23"/>
        <v>297.71738505471762</v>
      </c>
      <c r="K27" s="3">
        <f t="shared" si="23"/>
        <v>0</v>
      </c>
      <c r="M27" s="45" t="s">
        <v>30</v>
      </c>
      <c r="N27" s="3">
        <f t="shared" si="24"/>
        <v>209.33361442781302</v>
      </c>
      <c r="O27" s="3">
        <f t="shared" si="24"/>
        <v>248.10932019855491</v>
      </c>
      <c r="P27" s="3">
        <f t="shared" si="24"/>
        <v>357.26086206566112</v>
      </c>
      <c r="Q27" s="3">
        <f t="shared" si="24"/>
        <v>0</v>
      </c>
      <c r="S27" s="45" t="s">
        <v>30</v>
      </c>
      <c r="T27" s="3">
        <f t="shared" si="25"/>
        <v>226.77808229679744</v>
      </c>
      <c r="U27" s="3">
        <f t="shared" si="25"/>
        <v>268.78509688176786</v>
      </c>
      <c r="V27" s="3">
        <f t="shared" si="25"/>
        <v>387.03260057113295</v>
      </c>
      <c r="W27" s="3">
        <f t="shared" si="25"/>
        <v>0</v>
      </c>
      <c r="Y27" s="45" t="s">
        <v>30</v>
      </c>
      <c r="Z27" s="3">
        <f t="shared" si="26"/>
        <v>244.22255016578183</v>
      </c>
      <c r="AA27" s="3">
        <f t="shared" si="26"/>
        <v>289.46087356498072</v>
      </c>
      <c r="AB27" s="3">
        <f t="shared" si="26"/>
        <v>416.80433907660466</v>
      </c>
      <c r="AC27" s="3">
        <f t="shared" si="26"/>
        <v>0</v>
      </c>
      <c r="AE27" s="45" t="s">
        <v>30</v>
      </c>
      <c r="AF27" s="3">
        <f t="shared" si="27"/>
        <v>279.11148590375069</v>
      </c>
      <c r="AG27" s="3">
        <f t="shared" si="27"/>
        <v>330.81242693140661</v>
      </c>
      <c r="AH27" s="3">
        <f t="shared" si="27"/>
        <v>476.34781608754821</v>
      </c>
      <c r="AI27" s="3">
        <f t="shared" si="27"/>
        <v>0</v>
      </c>
      <c r="AK27" s="45" t="s">
        <v>30</v>
      </c>
      <c r="AL27" s="3">
        <f t="shared" si="28"/>
        <v>348.88935737968836</v>
      </c>
      <c r="AM27" s="3">
        <f t="shared" si="28"/>
        <v>413.51553366425821</v>
      </c>
      <c r="AN27" s="3">
        <f t="shared" si="28"/>
        <v>595.43477010943525</v>
      </c>
      <c r="AO27" s="3">
        <f t="shared" si="28"/>
        <v>0</v>
      </c>
    </row>
    <row r="28" spans="1:41" x14ac:dyDescent="0.2">
      <c r="A28" s="45" t="s">
        <v>29</v>
      </c>
      <c r="B28" s="3">
        <f t="shared" si="22"/>
        <v>102.48193648542461</v>
      </c>
      <c r="C28" s="3">
        <f t="shared" si="22"/>
        <v>137.99183548306726</v>
      </c>
      <c r="D28" s="3">
        <f t="shared" si="22"/>
        <v>170.18993042911629</v>
      </c>
      <c r="E28" s="3">
        <f t="shared" si="22"/>
        <v>273.59181248442803</v>
      </c>
      <c r="G28" s="45" t="s">
        <v>29</v>
      </c>
      <c r="H28" s="3">
        <f t="shared" si="23"/>
        <v>128.10242060678075</v>
      </c>
      <c r="I28" s="3">
        <f t="shared" si="23"/>
        <v>172.48979435383407</v>
      </c>
      <c r="J28" s="3">
        <f t="shared" si="23"/>
        <v>212.73741303639534</v>
      </c>
      <c r="K28" s="3">
        <f t="shared" si="23"/>
        <v>341.98976560553501</v>
      </c>
      <c r="M28" s="45" t="s">
        <v>29</v>
      </c>
      <c r="N28" s="3">
        <f t="shared" si="24"/>
        <v>153.72290472813691</v>
      </c>
      <c r="O28" s="3">
        <f t="shared" si="24"/>
        <v>206.98775322460088</v>
      </c>
      <c r="P28" s="3">
        <f t="shared" si="24"/>
        <v>255.28489564367439</v>
      </c>
      <c r="Q28" s="3">
        <f t="shared" si="24"/>
        <v>410.38771872664199</v>
      </c>
      <c r="S28" s="45" t="s">
        <v>29</v>
      </c>
      <c r="T28" s="3">
        <f t="shared" si="25"/>
        <v>166.53314678881497</v>
      </c>
      <c r="U28" s="3">
        <f t="shared" si="25"/>
        <v>224.23673265998431</v>
      </c>
      <c r="V28" s="3">
        <f t="shared" si="25"/>
        <v>276.55863694731397</v>
      </c>
      <c r="W28" s="3">
        <f t="shared" si="25"/>
        <v>444.58669528719554</v>
      </c>
      <c r="Y28" s="45" t="s">
        <v>29</v>
      </c>
      <c r="Z28" s="3">
        <f t="shared" si="26"/>
        <v>179.34338884949304</v>
      </c>
      <c r="AA28" s="3">
        <f t="shared" si="26"/>
        <v>241.48571209536769</v>
      </c>
      <c r="AB28" s="3">
        <f t="shared" si="26"/>
        <v>297.83237825095347</v>
      </c>
      <c r="AC28" s="3">
        <f t="shared" si="26"/>
        <v>478.78567184774897</v>
      </c>
      <c r="AE28" s="45" t="s">
        <v>29</v>
      </c>
      <c r="AF28" s="3">
        <f t="shared" si="27"/>
        <v>204.96387297084922</v>
      </c>
      <c r="AG28" s="3">
        <f t="shared" si="27"/>
        <v>275.98367096613453</v>
      </c>
      <c r="AH28" s="3">
        <f t="shared" si="27"/>
        <v>340.37986085823258</v>
      </c>
      <c r="AI28" s="3">
        <f t="shared" si="27"/>
        <v>547.18362496885607</v>
      </c>
      <c r="AK28" s="45" t="s">
        <v>29</v>
      </c>
      <c r="AL28" s="3">
        <f t="shared" si="28"/>
        <v>256.20484121356151</v>
      </c>
      <c r="AM28" s="3">
        <f t="shared" si="28"/>
        <v>344.97958870766814</v>
      </c>
      <c r="AN28" s="3">
        <f t="shared" si="28"/>
        <v>425.47482607279068</v>
      </c>
      <c r="AO28" s="3">
        <f t="shared" si="28"/>
        <v>683.97953121107003</v>
      </c>
    </row>
    <row r="29" spans="1:41" x14ac:dyDescent="0.2">
      <c r="A29" s="45" t="s">
        <v>28</v>
      </c>
      <c r="B29" s="3">
        <f t="shared" si="22"/>
        <v>136.51992257124786</v>
      </c>
      <c r="C29" s="3">
        <f t="shared" si="22"/>
        <v>167.43009371945493</v>
      </c>
      <c r="D29" s="3">
        <f t="shared" si="22"/>
        <v>229.61841424382393</v>
      </c>
      <c r="E29" s="3">
        <f t="shared" si="22"/>
        <v>329.89248136151946</v>
      </c>
      <c r="G29" s="45" t="s">
        <v>28</v>
      </c>
      <c r="H29" s="3">
        <f t="shared" si="23"/>
        <v>170.64990321405983</v>
      </c>
      <c r="I29" s="3">
        <f t="shared" si="23"/>
        <v>209.28761714931866</v>
      </c>
      <c r="J29" s="3">
        <f t="shared" si="23"/>
        <v>287.0230178047799</v>
      </c>
      <c r="K29" s="3">
        <f t="shared" si="23"/>
        <v>412.36560170189932</v>
      </c>
      <c r="M29" s="45" t="s">
        <v>28</v>
      </c>
      <c r="N29" s="3">
        <f t="shared" si="24"/>
        <v>204.77988385687181</v>
      </c>
      <c r="O29" s="3">
        <f t="shared" si="24"/>
        <v>251.1451405791824</v>
      </c>
      <c r="P29" s="3">
        <f t="shared" si="24"/>
        <v>344.42762136573589</v>
      </c>
      <c r="Q29" s="3">
        <f t="shared" si="24"/>
        <v>494.83872204227919</v>
      </c>
      <c r="S29" s="45" t="s">
        <v>28</v>
      </c>
      <c r="T29" s="3">
        <f t="shared" si="25"/>
        <v>221.84487417827779</v>
      </c>
      <c r="U29" s="3">
        <f t="shared" si="25"/>
        <v>272.07390229411425</v>
      </c>
      <c r="V29" s="3">
        <f t="shared" si="25"/>
        <v>373.12992314621386</v>
      </c>
      <c r="W29" s="3">
        <f t="shared" si="25"/>
        <v>536.07528221246912</v>
      </c>
      <c r="Y29" s="45" t="s">
        <v>28</v>
      </c>
      <c r="Z29" s="3">
        <f t="shared" si="26"/>
        <v>238.90986449968375</v>
      </c>
      <c r="AA29" s="3">
        <f t="shared" si="26"/>
        <v>293.0026640090461</v>
      </c>
      <c r="AB29" s="3">
        <f t="shared" si="26"/>
        <v>401.83222492669182</v>
      </c>
      <c r="AC29" s="3">
        <f t="shared" si="26"/>
        <v>577.31184238265905</v>
      </c>
      <c r="AE29" s="45" t="s">
        <v>28</v>
      </c>
      <c r="AF29" s="3">
        <f t="shared" si="27"/>
        <v>273.03984514249572</v>
      </c>
      <c r="AG29" s="3">
        <f t="shared" si="27"/>
        <v>334.86018743890986</v>
      </c>
      <c r="AH29" s="3">
        <f t="shared" si="27"/>
        <v>459.23682848764787</v>
      </c>
      <c r="AI29" s="3">
        <f t="shared" si="27"/>
        <v>659.78496272303892</v>
      </c>
      <c r="AK29" s="45" t="s">
        <v>28</v>
      </c>
      <c r="AL29" s="3">
        <f t="shared" si="28"/>
        <v>341.29980642811967</v>
      </c>
      <c r="AM29" s="3">
        <f t="shared" si="28"/>
        <v>418.57523429863733</v>
      </c>
      <c r="AN29" s="3">
        <f t="shared" si="28"/>
        <v>574.04603560955979</v>
      </c>
      <c r="AO29" s="3">
        <f t="shared" si="28"/>
        <v>824.73120340379865</v>
      </c>
    </row>
    <row r="30" spans="1:41" x14ac:dyDescent="0.2">
      <c r="A30" s="45" t="s">
        <v>27</v>
      </c>
      <c r="B30" s="3">
        <f t="shared" si="22"/>
        <v>119.59292408532495</v>
      </c>
      <c r="C30" s="3">
        <f t="shared" si="22"/>
        <v>147.46727485290452</v>
      </c>
      <c r="D30" s="3">
        <f t="shared" si="22"/>
        <v>183.34515207850203</v>
      </c>
      <c r="E30" s="3">
        <f t="shared" si="22"/>
        <v>261.17254729095197</v>
      </c>
      <c r="G30" s="45" t="s">
        <v>27</v>
      </c>
      <c r="H30" s="3">
        <f t="shared" si="23"/>
        <v>149.49115510665618</v>
      </c>
      <c r="I30" s="3">
        <f t="shared" si="23"/>
        <v>184.33409356613066</v>
      </c>
      <c r="J30" s="3">
        <f t="shared" si="23"/>
        <v>229.18144009812752</v>
      </c>
      <c r="K30" s="3">
        <f t="shared" si="23"/>
        <v>326.46568411368992</v>
      </c>
      <c r="M30" s="45" t="s">
        <v>27</v>
      </c>
      <c r="N30" s="3">
        <f t="shared" si="24"/>
        <v>179.38938612798742</v>
      </c>
      <c r="O30" s="3">
        <f t="shared" si="24"/>
        <v>221.2009122793568</v>
      </c>
      <c r="P30" s="3">
        <f t="shared" si="24"/>
        <v>275.01772811775299</v>
      </c>
      <c r="Q30" s="3">
        <f t="shared" si="24"/>
        <v>391.75882093642787</v>
      </c>
      <c r="S30" s="45" t="s">
        <v>27</v>
      </c>
      <c r="T30" s="3">
        <f t="shared" si="25"/>
        <v>194.33850163865304</v>
      </c>
      <c r="U30" s="3">
        <f t="shared" si="25"/>
        <v>239.63432163596985</v>
      </c>
      <c r="V30" s="3">
        <f t="shared" si="25"/>
        <v>297.9358721275658</v>
      </c>
      <c r="W30" s="3">
        <f t="shared" si="25"/>
        <v>424.40538934779693</v>
      </c>
      <c r="Y30" s="45" t="s">
        <v>27</v>
      </c>
      <c r="Z30" s="3">
        <f t="shared" si="26"/>
        <v>209.28761714931863</v>
      </c>
      <c r="AA30" s="3">
        <f t="shared" si="26"/>
        <v>258.06773099258294</v>
      </c>
      <c r="AB30" s="3">
        <f t="shared" si="26"/>
        <v>320.85401613737849</v>
      </c>
      <c r="AC30" s="3">
        <f t="shared" si="26"/>
        <v>457.05195775916587</v>
      </c>
      <c r="AE30" s="45" t="s">
        <v>27</v>
      </c>
      <c r="AF30" s="3">
        <f t="shared" si="27"/>
        <v>239.1858481706499</v>
      </c>
      <c r="AG30" s="3">
        <f t="shared" si="27"/>
        <v>294.93454970580905</v>
      </c>
      <c r="AH30" s="3">
        <f t="shared" si="27"/>
        <v>366.69030415700405</v>
      </c>
      <c r="AI30" s="3">
        <f t="shared" si="27"/>
        <v>522.34509458190394</v>
      </c>
      <c r="AK30" s="45" t="s">
        <v>27</v>
      </c>
      <c r="AL30" s="3">
        <f t="shared" si="28"/>
        <v>298.98231021331236</v>
      </c>
      <c r="AM30" s="3">
        <f t="shared" si="28"/>
        <v>368.66818713226132</v>
      </c>
      <c r="AN30" s="3">
        <f t="shared" si="28"/>
        <v>458.36288019625505</v>
      </c>
      <c r="AO30" s="3">
        <f t="shared" si="28"/>
        <v>652.93136822737983</v>
      </c>
    </row>
    <row r="31" spans="1:41" x14ac:dyDescent="0.2">
      <c r="A31" s="45" t="s">
        <v>33</v>
      </c>
      <c r="B31" s="3">
        <f t="shared" si="22"/>
        <v>113.70527243804743</v>
      </c>
      <c r="C31" s="3">
        <f t="shared" si="22"/>
        <v>128.7923797841961</v>
      </c>
      <c r="D31" s="3">
        <f t="shared" si="22"/>
        <v>167.8900665043985</v>
      </c>
      <c r="E31" s="3">
        <f t="shared" si="22"/>
        <v>252.98503171895663</v>
      </c>
      <c r="G31" s="45" t="s">
        <v>33</v>
      </c>
      <c r="H31" s="3">
        <f t="shared" si="23"/>
        <v>142.13159054755928</v>
      </c>
      <c r="I31" s="3">
        <f t="shared" si="23"/>
        <v>160.99047473024513</v>
      </c>
      <c r="J31" s="3">
        <f t="shared" si="23"/>
        <v>209.86258313049811</v>
      </c>
      <c r="K31" s="3">
        <f t="shared" si="23"/>
        <v>316.23128964869579</v>
      </c>
      <c r="M31" s="45" t="s">
        <v>33</v>
      </c>
      <c r="N31" s="3">
        <f t="shared" si="24"/>
        <v>170.55790865707112</v>
      </c>
      <c r="O31" s="3">
        <f t="shared" si="24"/>
        <v>193.18856967629415</v>
      </c>
      <c r="P31" s="3">
        <f t="shared" si="24"/>
        <v>251.83509975659771</v>
      </c>
      <c r="Q31" s="3">
        <f t="shared" si="24"/>
        <v>379.47754757843495</v>
      </c>
      <c r="S31" s="45" t="s">
        <v>33</v>
      </c>
      <c r="T31" s="3">
        <f t="shared" si="25"/>
        <v>184.77106771182707</v>
      </c>
      <c r="U31" s="3">
        <f t="shared" si="25"/>
        <v>209.28761714931866</v>
      </c>
      <c r="V31" s="3">
        <f t="shared" si="25"/>
        <v>272.82135806964754</v>
      </c>
      <c r="W31" s="3">
        <f t="shared" si="25"/>
        <v>411.10067654330453</v>
      </c>
      <c r="Y31" s="45" t="s">
        <v>33</v>
      </c>
      <c r="Z31" s="3">
        <f t="shared" si="26"/>
        <v>198.98422676658299</v>
      </c>
      <c r="AA31" s="3">
        <f t="shared" si="26"/>
        <v>225.38666462234315</v>
      </c>
      <c r="AB31" s="3">
        <f t="shared" si="26"/>
        <v>293.80761638269735</v>
      </c>
      <c r="AC31" s="3">
        <f t="shared" si="26"/>
        <v>442.72380550817411</v>
      </c>
      <c r="AE31" s="45" t="s">
        <v>33</v>
      </c>
      <c r="AF31" s="3">
        <f t="shared" si="27"/>
        <v>227.41054487609486</v>
      </c>
      <c r="AG31" s="3">
        <f t="shared" si="27"/>
        <v>257.5847595683922</v>
      </c>
      <c r="AH31" s="3">
        <f t="shared" si="27"/>
        <v>335.78013300879701</v>
      </c>
      <c r="AI31" s="3">
        <f t="shared" si="27"/>
        <v>505.97006343791327</v>
      </c>
      <c r="AK31" s="45" t="s">
        <v>33</v>
      </c>
      <c r="AL31" s="3">
        <f t="shared" si="28"/>
        <v>284.26318109511857</v>
      </c>
      <c r="AM31" s="3">
        <f t="shared" si="28"/>
        <v>321.98094946049025</v>
      </c>
      <c r="AN31" s="3">
        <f t="shared" si="28"/>
        <v>419.72516626099622</v>
      </c>
      <c r="AO31" s="3">
        <f t="shared" si="28"/>
        <v>632.46257929739158</v>
      </c>
    </row>
    <row r="32" spans="1:41" x14ac:dyDescent="0.2">
      <c r="A32" s="45" t="s">
        <v>32</v>
      </c>
      <c r="B32" s="3">
        <f t="shared" si="22"/>
        <v>111.22141939935221</v>
      </c>
      <c r="C32" s="3">
        <f t="shared" si="22"/>
        <v>137.53186269812372</v>
      </c>
      <c r="D32" s="3">
        <f t="shared" si="22"/>
        <v>193.09657511930547</v>
      </c>
      <c r="E32" s="3">
        <f t="shared" si="22"/>
        <v>275.89167640914582</v>
      </c>
      <c r="G32" s="45" t="s">
        <v>32</v>
      </c>
      <c r="H32" s="3">
        <f t="shared" si="23"/>
        <v>139.02677424919025</v>
      </c>
      <c r="I32" s="3">
        <f t="shared" si="23"/>
        <v>171.91482837265463</v>
      </c>
      <c r="J32" s="3">
        <f t="shared" si="23"/>
        <v>241.37071889913182</v>
      </c>
      <c r="K32" s="3">
        <f t="shared" si="23"/>
        <v>344.86459551143224</v>
      </c>
      <c r="M32" s="45" t="s">
        <v>32</v>
      </c>
      <c r="N32" s="3">
        <f t="shared" si="24"/>
        <v>166.83212909902829</v>
      </c>
      <c r="O32" s="3">
        <f t="shared" si="24"/>
        <v>206.29779404718553</v>
      </c>
      <c r="P32" s="3">
        <f t="shared" si="24"/>
        <v>289.64486267895819</v>
      </c>
      <c r="Q32" s="3">
        <f t="shared" si="24"/>
        <v>413.83751461371867</v>
      </c>
      <c r="S32" s="45" t="s">
        <v>32</v>
      </c>
      <c r="T32" s="3">
        <f t="shared" si="25"/>
        <v>180.73480652394733</v>
      </c>
      <c r="U32" s="3">
        <f t="shared" si="25"/>
        <v>223.48927688445102</v>
      </c>
      <c r="V32" s="3">
        <f t="shared" si="25"/>
        <v>313.78193456887135</v>
      </c>
      <c r="W32" s="3">
        <f t="shared" si="25"/>
        <v>448.32397416486191</v>
      </c>
      <c r="Y32" s="45" t="s">
        <v>32</v>
      </c>
      <c r="Z32" s="3">
        <f t="shared" si="26"/>
        <v>194.63748394886633</v>
      </c>
      <c r="AA32" s="3">
        <f t="shared" si="26"/>
        <v>240.68075972171647</v>
      </c>
      <c r="AB32" s="3">
        <f t="shared" si="26"/>
        <v>337.91900645878451</v>
      </c>
      <c r="AC32" s="3">
        <f t="shared" si="26"/>
        <v>482.81043371600509</v>
      </c>
      <c r="AE32" s="45" t="s">
        <v>32</v>
      </c>
      <c r="AF32" s="3">
        <f t="shared" si="27"/>
        <v>222.44283879870443</v>
      </c>
      <c r="AG32" s="3">
        <f t="shared" si="27"/>
        <v>275.06372539624743</v>
      </c>
      <c r="AH32" s="3">
        <f t="shared" si="27"/>
        <v>386.19315023861094</v>
      </c>
      <c r="AI32" s="3">
        <f t="shared" si="27"/>
        <v>551.78335281829163</v>
      </c>
      <c r="AK32" s="45" t="s">
        <v>32</v>
      </c>
      <c r="AL32" s="3">
        <f t="shared" si="28"/>
        <v>278.05354849838051</v>
      </c>
      <c r="AM32" s="3">
        <f t="shared" si="28"/>
        <v>343.82965674530925</v>
      </c>
      <c r="AN32" s="3">
        <f t="shared" si="28"/>
        <v>482.74143779826363</v>
      </c>
      <c r="AO32" s="3">
        <f t="shared" si="28"/>
        <v>689.72919102286448</v>
      </c>
    </row>
    <row r="33" spans="1:41" x14ac:dyDescent="0.2">
      <c r="A33" s="45" t="s">
        <v>31</v>
      </c>
      <c r="B33" s="3">
        <f t="shared" si="22"/>
        <v>111.58939762730706</v>
      </c>
      <c r="C33" s="3">
        <f t="shared" si="22"/>
        <v>137.89984092607855</v>
      </c>
      <c r="D33" s="3">
        <f t="shared" si="22"/>
        <v>208.27567702244284</v>
      </c>
      <c r="E33" s="3">
        <f t="shared" si="22"/>
        <v>340.37986085823258</v>
      </c>
      <c r="G33" s="45" t="s">
        <v>31</v>
      </c>
      <c r="H33" s="3">
        <f t="shared" si="23"/>
        <v>139.48674703413383</v>
      </c>
      <c r="I33" s="3">
        <f t="shared" si="23"/>
        <v>172.37480115759817</v>
      </c>
      <c r="J33" s="3">
        <f t="shared" si="23"/>
        <v>260.34459627805353</v>
      </c>
      <c r="K33" s="3">
        <f t="shared" si="23"/>
        <v>425.47482607279068</v>
      </c>
      <c r="M33" s="45" t="s">
        <v>31</v>
      </c>
      <c r="N33" s="3">
        <f t="shared" si="24"/>
        <v>167.38409644096058</v>
      </c>
      <c r="O33" s="3">
        <f t="shared" si="24"/>
        <v>206.84976138911779</v>
      </c>
      <c r="P33" s="3">
        <f t="shared" si="24"/>
        <v>312.41351553366422</v>
      </c>
      <c r="Q33" s="3">
        <f t="shared" si="24"/>
        <v>510.56979128734878</v>
      </c>
      <c r="S33" s="45" t="s">
        <v>31</v>
      </c>
      <c r="T33" s="3">
        <f t="shared" si="25"/>
        <v>181.33277114437399</v>
      </c>
      <c r="U33" s="3">
        <f t="shared" si="25"/>
        <v>224.08724150487762</v>
      </c>
      <c r="V33" s="3">
        <f t="shared" si="25"/>
        <v>338.44797516146963</v>
      </c>
      <c r="W33" s="3">
        <f t="shared" si="25"/>
        <v>553.11727389462794</v>
      </c>
      <c r="Y33" s="45" t="s">
        <v>31</v>
      </c>
      <c r="Z33" s="3">
        <f t="shared" si="26"/>
        <v>195.28144584778735</v>
      </c>
      <c r="AA33" s="3">
        <f t="shared" si="26"/>
        <v>241.32472162063743</v>
      </c>
      <c r="AB33" s="3">
        <f t="shared" si="26"/>
        <v>364.48243478927492</v>
      </c>
      <c r="AC33" s="3">
        <f t="shared" si="26"/>
        <v>595.66475650190694</v>
      </c>
      <c r="AE33" s="45" t="s">
        <v>31</v>
      </c>
      <c r="AF33" s="3">
        <f t="shared" si="27"/>
        <v>223.17879525461413</v>
      </c>
      <c r="AG33" s="3">
        <f t="shared" si="27"/>
        <v>275.79968185215711</v>
      </c>
      <c r="AH33" s="3">
        <f t="shared" si="27"/>
        <v>416.55135404488567</v>
      </c>
      <c r="AI33" s="3">
        <f t="shared" si="27"/>
        <v>680.75972171646515</v>
      </c>
      <c r="AK33" s="45" t="s">
        <v>31</v>
      </c>
      <c r="AL33" s="3">
        <f t="shared" si="28"/>
        <v>278.97349406826766</v>
      </c>
      <c r="AM33" s="3">
        <f t="shared" si="28"/>
        <v>344.74960231519634</v>
      </c>
      <c r="AN33" s="3">
        <f t="shared" si="28"/>
        <v>520.68919255610706</v>
      </c>
      <c r="AO33" s="3">
        <f t="shared" si="28"/>
        <v>850.94965214558135</v>
      </c>
    </row>
    <row r="34" spans="1:41" x14ac:dyDescent="0.2">
      <c r="A34" s="6"/>
      <c r="G34" s="6"/>
      <c r="M34" s="6"/>
      <c r="S34" s="6"/>
      <c r="Y34" s="6"/>
      <c r="AE34" s="6"/>
      <c r="AK34" s="6"/>
    </row>
    <row r="35" spans="1:41" x14ac:dyDescent="0.2">
      <c r="A35" s="44" t="s">
        <v>114</v>
      </c>
      <c r="B35" s="41"/>
      <c r="C35" s="5"/>
      <c r="D35" s="5"/>
      <c r="E35" s="5"/>
      <c r="G35" s="44" t="s">
        <v>114</v>
      </c>
      <c r="H35" s="41"/>
      <c r="I35" s="5"/>
      <c r="J35" s="5"/>
      <c r="K35" s="5"/>
      <c r="M35" s="44" t="s">
        <v>114</v>
      </c>
      <c r="N35" s="41"/>
      <c r="O35" s="5"/>
      <c r="P35" s="5"/>
      <c r="Q35" s="5"/>
      <c r="S35" s="44" t="s">
        <v>114</v>
      </c>
      <c r="T35" s="41"/>
      <c r="U35" s="5"/>
      <c r="V35" s="5"/>
      <c r="W35" s="5"/>
      <c r="Y35" s="44" t="s">
        <v>114</v>
      </c>
      <c r="Z35" s="41"/>
      <c r="AA35" s="5"/>
      <c r="AB35" s="5"/>
      <c r="AC35" s="5"/>
      <c r="AE35" s="44" t="s">
        <v>114</v>
      </c>
      <c r="AF35" s="41"/>
      <c r="AG35" s="5"/>
      <c r="AH35" s="5"/>
      <c r="AI35" s="5"/>
      <c r="AK35" s="44" t="s">
        <v>114</v>
      </c>
      <c r="AL35" s="41"/>
      <c r="AM35" s="5"/>
      <c r="AN35" s="5"/>
      <c r="AO35" s="5"/>
    </row>
    <row r="36" spans="1:41" x14ac:dyDescent="0.2">
      <c r="A36" s="65">
        <v>0.25</v>
      </c>
      <c r="B36" s="2">
        <v>1</v>
      </c>
      <c r="C36" s="2">
        <v>2</v>
      </c>
      <c r="D36" s="2">
        <v>3</v>
      </c>
      <c r="E36" s="2" t="s">
        <v>24</v>
      </c>
      <c r="G36" s="65">
        <v>0.25</v>
      </c>
      <c r="H36" s="2">
        <v>1</v>
      </c>
      <c r="I36" s="2">
        <v>2</v>
      </c>
      <c r="J36" s="2">
        <v>3</v>
      </c>
      <c r="K36" s="2" t="s">
        <v>24</v>
      </c>
      <c r="M36" s="68">
        <f>$G$36</f>
        <v>0.25</v>
      </c>
      <c r="N36" s="2">
        <v>1</v>
      </c>
      <c r="O36" s="2">
        <v>2</v>
      </c>
      <c r="P36" s="2">
        <v>3</v>
      </c>
      <c r="Q36" s="2" t="s">
        <v>24</v>
      </c>
      <c r="S36" s="68">
        <f>$G$36</f>
        <v>0.25</v>
      </c>
      <c r="T36" s="2">
        <v>1</v>
      </c>
      <c r="U36" s="2">
        <v>2</v>
      </c>
      <c r="V36" s="2">
        <v>3</v>
      </c>
      <c r="W36" s="2" t="s">
        <v>24</v>
      </c>
      <c r="Y36" s="68">
        <f>$G$36</f>
        <v>0.25</v>
      </c>
      <c r="Z36" s="2">
        <v>1</v>
      </c>
      <c r="AA36" s="2">
        <v>2</v>
      </c>
      <c r="AB36" s="2">
        <v>3</v>
      </c>
      <c r="AC36" s="2" t="s">
        <v>24</v>
      </c>
      <c r="AE36" s="68">
        <f>$G$36</f>
        <v>0.25</v>
      </c>
      <c r="AF36" s="2">
        <v>1</v>
      </c>
      <c r="AG36" s="2">
        <v>2</v>
      </c>
      <c r="AH36" s="2">
        <v>3</v>
      </c>
      <c r="AI36" s="2" t="s">
        <v>24</v>
      </c>
      <c r="AK36" s="68">
        <f>$G$36</f>
        <v>0.25</v>
      </c>
      <c r="AL36" s="2">
        <v>1</v>
      </c>
      <c r="AM36" s="2">
        <v>2</v>
      </c>
      <c r="AN36" s="2">
        <v>3</v>
      </c>
      <c r="AO36" s="2" t="s">
        <v>24</v>
      </c>
    </row>
    <row r="37" spans="1:41" x14ac:dyDescent="0.2">
      <c r="A37" s="45" t="s">
        <v>36</v>
      </c>
      <c r="B37" s="42">
        <f>(1/A36)*B24*52.177</f>
        <v>29529.600000000002</v>
      </c>
      <c r="C37" s="42">
        <f>(1/A36)*C24*52.177</f>
        <v>37440.000000000007</v>
      </c>
      <c r="D37" s="42">
        <f>(1/A36)*D24*52.177</f>
        <v>47846.400000000009</v>
      </c>
      <c r="E37" s="42">
        <f>(1/A36)*E24*52.177</f>
        <v>56793.599999999999</v>
      </c>
      <c r="G37" s="45" t="s">
        <v>36</v>
      </c>
      <c r="H37" s="42">
        <f>(1/G36)*H24*52.177</f>
        <v>36912</v>
      </c>
      <c r="I37" s="42">
        <f>(1/G36)*I24*52.177</f>
        <v>46800</v>
      </c>
      <c r="J37" s="42">
        <f>(1/G36)*J24*52.177</f>
        <v>59808.000000000007</v>
      </c>
      <c r="K37" s="42">
        <f>(1/G36)*K24*52.177</f>
        <v>70992</v>
      </c>
      <c r="L37" s="43"/>
      <c r="M37" s="46" t="s">
        <v>36</v>
      </c>
      <c r="N37" s="42">
        <f>(1/M36)*N24*52.177</f>
        <v>44294.400000000001</v>
      </c>
      <c r="O37" s="42">
        <f>(1/M36)*O24*52.177</f>
        <v>56159.999999999993</v>
      </c>
      <c r="P37" s="42">
        <f>(1/M36)*P24*52.177</f>
        <v>71769.600000000006</v>
      </c>
      <c r="Q37" s="42">
        <f>(1/M36)*Q24*52.177</f>
        <v>85190.399999999994</v>
      </c>
      <c r="R37" s="43"/>
      <c r="S37" s="46" t="s">
        <v>36</v>
      </c>
      <c r="T37" s="42">
        <f>(1/S36)*T24*52.177</f>
        <v>47985.599999999999</v>
      </c>
      <c r="U37" s="42">
        <f>(1/S36)*U24*52.177</f>
        <v>60840</v>
      </c>
      <c r="V37" s="42">
        <f>(1/S36)*V24*52.177</f>
        <v>77750.400000000009</v>
      </c>
      <c r="W37" s="42">
        <f>(1/S36)*W24*52.177</f>
        <v>92289.600000000006</v>
      </c>
      <c r="X37" s="43"/>
      <c r="Y37" s="46" t="s">
        <v>36</v>
      </c>
      <c r="Z37" s="42">
        <f>(1/Y36)*Z24*52.177</f>
        <v>51676.799999999996</v>
      </c>
      <c r="AA37" s="42">
        <f>(1/Y36)*AA24*52.177</f>
        <v>65519.999999999993</v>
      </c>
      <c r="AB37" s="42">
        <f>(1/Y36)*AB24*52.177</f>
        <v>83731.199999999997</v>
      </c>
      <c r="AC37" s="42">
        <f>(1/Y36)*AC24*52.177</f>
        <v>99388.799999999988</v>
      </c>
      <c r="AD37" s="43"/>
      <c r="AE37" s="46" t="s">
        <v>36</v>
      </c>
      <c r="AF37" s="42">
        <f>(1/AE36)*AF24*52.177</f>
        <v>59059.200000000004</v>
      </c>
      <c r="AG37" s="42">
        <f>(1/AE36)*AG24*52.177</f>
        <v>74880.000000000015</v>
      </c>
      <c r="AH37" s="42">
        <f>(1/AE36)*AH24*52.177</f>
        <v>95692.800000000017</v>
      </c>
      <c r="AI37" s="42">
        <f>(1/AE36)*AI24*52.177</f>
        <v>113587.2</v>
      </c>
      <c r="AJ37" s="43"/>
      <c r="AK37" s="46" t="s">
        <v>36</v>
      </c>
      <c r="AL37" s="42">
        <f>(1/AK36)*AL24*52.177</f>
        <v>73824</v>
      </c>
      <c r="AM37" s="42">
        <f>(1/AK36)*AM24*52.177</f>
        <v>93600</v>
      </c>
      <c r="AN37" s="42">
        <f>(1/AK36)*AN24*52.177</f>
        <v>119616.00000000001</v>
      </c>
      <c r="AO37" s="42">
        <f>(1/AK36)*AO24*52.177</f>
        <v>141984</v>
      </c>
    </row>
    <row r="38" spans="1:41" x14ac:dyDescent="0.2">
      <c r="A38" s="45" t="s">
        <v>26</v>
      </c>
      <c r="B38" s="42">
        <f>(1/A36)*B25*52.177</f>
        <v>33004.800000000003</v>
      </c>
      <c r="C38" s="42">
        <f>(1/A36)*C25*52.177</f>
        <v>43257.600000000006</v>
      </c>
      <c r="D38" s="42">
        <f>(1/A36)*D25*52.177</f>
        <v>60115.199999999997</v>
      </c>
      <c r="E38" s="42">
        <f>(1/A36)*E25*52.177</f>
        <v>56582.399999999994</v>
      </c>
      <c r="G38" s="45" t="s">
        <v>26</v>
      </c>
      <c r="H38" s="42">
        <f>(1/G36)*H25*52.177</f>
        <v>41256</v>
      </c>
      <c r="I38" s="42">
        <f>(1/G36)*I25*52.177</f>
        <v>54072.000000000007</v>
      </c>
      <c r="J38" s="42">
        <f>(1/G36)*J25*52.177</f>
        <v>75144</v>
      </c>
      <c r="K38" s="42">
        <f>(1/G36)*K25*52.177</f>
        <v>70728</v>
      </c>
      <c r="L38" s="43"/>
      <c r="M38" s="46" t="s">
        <v>26</v>
      </c>
      <c r="N38" s="42">
        <f>(1/M36)*N25*52.177</f>
        <v>49507.199999999997</v>
      </c>
      <c r="O38" s="42">
        <f>(1/M36)*O25*52.177</f>
        <v>64886.400000000009</v>
      </c>
      <c r="P38" s="42">
        <f>(1/M36)*P25*52.177</f>
        <v>90172.800000000003</v>
      </c>
      <c r="Q38" s="42">
        <f>(1/M36)*Q25*52.177</f>
        <v>84873.600000000006</v>
      </c>
      <c r="R38" s="43"/>
      <c r="S38" s="46" t="s">
        <v>26</v>
      </c>
      <c r="T38" s="42">
        <f>(1/S36)*T25*52.177</f>
        <v>53632.800000000003</v>
      </c>
      <c r="U38" s="42">
        <f>(1/S36)*U25*52.177</f>
        <v>70293.600000000006</v>
      </c>
      <c r="V38" s="42">
        <f>(1/S36)*V25*52.177</f>
        <v>97687.2</v>
      </c>
      <c r="W38" s="42">
        <f>(1/S36)*W25*52.177</f>
        <v>91946.4</v>
      </c>
      <c r="X38" s="43"/>
      <c r="Y38" s="46" t="s">
        <v>26</v>
      </c>
      <c r="Z38" s="42">
        <f>(1/Y36)*Z25*52.177</f>
        <v>57758.400000000001</v>
      </c>
      <c r="AA38" s="42">
        <f>(1/Y36)*AA25*52.177</f>
        <v>75700.800000000003</v>
      </c>
      <c r="AB38" s="42">
        <f>(1/Y36)*AB25*52.177</f>
        <v>105201.59999999999</v>
      </c>
      <c r="AC38" s="42">
        <f>(1/Y36)*AC25*52.177</f>
        <v>99019.199999999983</v>
      </c>
      <c r="AD38" s="43"/>
      <c r="AE38" s="46" t="s">
        <v>26</v>
      </c>
      <c r="AF38" s="42">
        <f>(1/AE36)*AF25*52.177</f>
        <v>66009.600000000006</v>
      </c>
      <c r="AG38" s="42">
        <f>(1/AE36)*AG25*52.177</f>
        <v>86515.200000000012</v>
      </c>
      <c r="AH38" s="42">
        <f>(1/AE36)*AH25*52.177</f>
        <v>120230.39999999999</v>
      </c>
      <c r="AI38" s="42">
        <f>(1/AE36)*AI25*52.177</f>
        <v>113164.79999999999</v>
      </c>
      <c r="AJ38" s="43"/>
      <c r="AK38" s="46" t="s">
        <v>26</v>
      </c>
      <c r="AL38" s="42">
        <f>(1/AK36)*AL25*52.177</f>
        <v>82512</v>
      </c>
      <c r="AM38" s="42">
        <f>(1/AK36)*AM25*52.177</f>
        <v>108144.00000000001</v>
      </c>
      <c r="AN38" s="42">
        <f>(1/AK36)*AN25*52.177</f>
        <v>150288</v>
      </c>
      <c r="AO38" s="42">
        <f>(1/AK36)*AO25*52.177</f>
        <v>141456</v>
      </c>
    </row>
    <row r="39" spans="1:41" x14ac:dyDescent="0.2">
      <c r="A39" s="45" t="s">
        <v>25</v>
      </c>
      <c r="B39" s="42">
        <f>(1/A36)*B26*52.177</f>
        <v>24960</v>
      </c>
      <c r="C39" s="42">
        <f>(1/A36)*C26*52.177</f>
        <v>29952</v>
      </c>
      <c r="D39" s="42">
        <f>(1/A36)*D26*52.177</f>
        <v>39360</v>
      </c>
      <c r="E39" s="42">
        <f>(1/A36)*E26*52.177</f>
        <v>54086.400000000001</v>
      </c>
      <c r="G39" s="45" t="s">
        <v>25</v>
      </c>
      <c r="H39" s="42">
        <f>(1/G36)*H26*52.177</f>
        <v>31199.999999999996</v>
      </c>
      <c r="I39" s="42">
        <f>(1/G36)*I26*52.177</f>
        <v>37440</v>
      </c>
      <c r="J39" s="42">
        <f>(1/G36)*J26*52.177</f>
        <v>49200</v>
      </c>
      <c r="K39" s="42">
        <f>(1/G36)*K26*52.177</f>
        <v>67608</v>
      </c>
      <c r="L39" s="43"/>
      <c r="M39" s="46" t="s">
        <v>25</v>
      </c>
      <c r="N39" s="42">
        <f>(1/M36)*N26*52.177</f>
        <v>37440</v>
      </c>
      <c r="O39" s="42">
        <f>(1/M36)*O26*52.177</f>
        <v>44927.999999999993</v>
      </c>
      <c r="P39" s="42">
        <f>(1/M36)*P26*52.177</f>
        <v>59040</v>
      </c>
      <c r="Q39" s="42">
        <f>(1/M36)*Q26*52.177</f>
        <v>81129.600000000006</v>
      </c>
      <c r="R39" s="43"/>
      <c r="S39" s="46" t="s">
        <v>25</v>
      </c>
      <c r="T39" s="42">
        <f>(1/S36)*T26*52.177</f>
        <v>40560</v>
      </c>
      <c r="U39" s="42">
        <f>(1/S36)*U26*52.177</f>
        <v>48672</v>
      </c>
      <c r="V39" s="42">
        <f>(1/S36)*V26*52.177</f>
        <v>63960.000000000007</v>
      </c>
      <c r="W39" s="42">
        <f>(1/S36)*W26*52.177</f>
        <v>87890.400000000009</v>
      </c>
      <c r="X39" s="43"/>
      <c r="Y39" s="46" t="s">
        <v>25</v>
      </c>
      <c r="Z39" s="42">
        <f>(1/Y36)*Z26*52.177</f>
        <v>43679.999999999993</v>
      </c>
      <c r="AA39" s="42">
        <f>(1/Y36)*AA26*52.177</f>
        <v>52415.999999999993</v>
      </c>
      <c r="AB39" s="42">
        <f>(1/Y36)*AB26*52.177</f>
        <v>68880</v>
      </c>
      <c r="AC39" s="42">
        <f>(1/Y36)*AC26*52.177</f>
        <v>94651.199999999997</v>
      </c>
      <c r="AD39" s="43"/>
      <c r="AE39" s="46" t="s">
        <v>25</v>
      </c>
      <c r="AF39" s="42">
        <f>(1/AE36)*AF26*52.177</f>
        <v>49920</v>
      </c>
      <c r="AG39" s="42">
        <f>(1/AE36)*AG26*52.177</f>
        <v>59904</v>
      </c>
      <c r="AH39" s="42">
        <f>(1/AE36)*AH26*52.177</f>
        <v>78720</v>
      </c>
      <c r="AI39" s="42">
        <f>(1/AE36)*AI26*52.177</f>
        <v>108172.8</v>
      </c>
      <c r="AJ39" s="43"/>
      <c r="AK39" s="46" t="s">
        <v>25</v>
      </c>
      <c r="AL39" s="42">
        <f>(1/AK36)*AL26*52.177</f>
        <v>62399.999999999993</v>
      </c>
      <c r="AM39" s="42">
        <f>(1/AK36)*AM26*52.177</f>
        <v>74880</v>
      </c>
      <c r="AN39" s="42">
        <f>(1/AK36)*AN26*52.177</f>
        <v>98400</v>
      </c>
      <c r="AO39" s="42">
        <f>(1/AK36)*AO26*52.177</f>
        <v>135216</v>
      </c>
    </row>
    <row r="40" spans="1:41" x14ac:dyDescent="0.2">
      <c r="A40" s="45" t="s">
        <v>30</v>
      </c>
      <c r="B40" s="42">
        <f>(1/A36)*B27*52.177</f>
        <v>29126.399999999998</v>
      </c>
      <c r="C40" s="42">
        <f>(1/A36)*C27*52.177</f>
        <v>34521.600000000006</v>
      </c>
      <c r="D40" s="42">
        <f>(1/A36)*D27*52.177</f>
        <v>49708.800000000003</v>
      </c>
      <c r="E40" s="42">
        <f>(1/A36)*E27*52.177</f>
        <v>0</v>
      </c>
      <c r="G40" s="45" t="s">
        <v>30</v>
      </c>
      <c r="H40" s="42">
        <f>(1/G36)*H27*52.177</f>
        <v>36408</v>
      </c>
      <c r="I40" s="42">
        <f>(1/G36)*I27*52.177</f>
        <v>43152</v>
      </c>
      <c r="J40" s="42">
        <f>(1/G36)*J27*52.177</f>
        <v>62136.000000000007</v>
      </c>
      <c r="K40" s="42">
        <f>(1/G36)*K27*52.177</f>
        <v>0</v>
      </c>
      <c r="L40" s="43"/>
      <c r="M40" s="46" t="s">
        <v>30</v>
      </c>
      <c r="N40" s="42">
        <f>(1/M36)*N27*52.177</f>
        <v>43689.599999999999</v>
      </c>
      <c r="O40" s="42">
        <f>(1/M36)*O27*52.177</f>
        <v>51782.400000000001</v>
      </c>
      <c r="P40" s="42">
        <f>(1/M36)*P27*52.177</f>
        <v>74563.199999999997</v>
      </c>
      <c r="Q40" s="42">
        <f>(1/M36)*Q27*52.177</f>
        <v>0</v>
      </c>
      <c r="R40" s="43"/>
      <c r="S40" s="46" t="s">
        <v>30</v>
      </c>
      <c r="T40" s="42">
        <f>(1/S36)*T27*52.177</f>
        <v>47330.400000000001</v>
      </c>
      <c r="U40" s="42">
        <f>(1/S36)*U27*52.177</f>
        <v>56097.600000000006</v>
      </c>
      <c r="V40" s="42">
        <f>(1/S36)*V27*52.177</f>
        <v>80776.800000000017</v>
      </c>
      <c r="W40" s="42">
        <f>(1/S36)*W27*52.177</f>
        <v>0</v>
      </c>
      <c r="X40" s="43"/>
      <c r="Y40" s="46" t="s">
        <v>30</v>
      </c>
      <c r="Z40" s="42">
        <f>(1/Y36)*Z27*52.177</f>
        <v>50971.19999999999</v>
      </c>
      <c r="AA40" s="42">
        <f>(1/Y36)*AA27*52.177</f>
        <v>60412.799999999996</v>
      </c>
      <c r="AB40" s="42">
        <f>(1/Y36)*AB27*52.177</f>
        <v>86990.400000000009</v>
      </c>
      <c r="AC40" s="42">
        <f>(1/Y36)*AC27*52.177</f>
        <v>0</v>
      </c>
      <c r="AD40" s="43"/>
      <c r="AE40" s="46" t="s">
        <v>30</v>
      </c>
      <c r="AF40" s="42">
        <f>(1/AE36)*AF27*52.177</f>
        <v>58252.799999999996</v>
      </c>
      <c r="AG40" s="42">
        <f>(1/AE36)*AG27*52.177</f>
        <v>69043.200000000012</v>
      </c>
      <c r="AH40" s="42">
        <f>(1/AE36)*AH27*52.177</f>
        <v>99417.600000000006</v>
      </c>
      <c r="AI40" s="42">
        <f>(1/AE36)*AI27*52.177</f>
        <v>0</v>
      </c>
      <c r="AJ40" s="43"/>
      <c r="AK40" s="46" t="s">
        <v>30</v>
      </c>
      <c r="AL40" s="42">
        <f>(1/AK36)*AL27*52.177</f>
        <v>72816</v>
      </c>
      <c r="AM40" s="42">
        <f>(1/AK36)*AM27*52.177</f>
        <v>86304</v>
      </c>
      <c r="AN40" s="42">
        <f>(1/AK36)*AN27*52.177</f>
        <v>124272.00000000001</v>
      </c>
      <c r="AO40" s="42">
        <f>(1/AK36)*AO27*52.177</f>
        <v>0</v>
      </c>
    </row>
    <row r="41" spans="1:41" x14ac:dyDescent="0.2">
      <c r="A41" s="45" t="s">
        <v>29</v>
      </c>
      <c r="B41" s="42">
        <f>(1/A36)*B28*52.177</f>
        <v>21388.799999999999</v>
      </c>
      <c r="C41" s="42">
        <f>(1/A36)*C28*52.177</f>
        <v>28800.000000000004</v>
      </c>
      <c r="D41" s="42">
        <f>(1/A36)*D28*52.177</f>
        <v>35520</v>
      </c>
      <c r="E41" s="42">
        <f>(1/A36)*E28*52.177</f>
        <v>57100.800000000003</v>
      </c>
      <c r="G41" s="45" t="s">
        <v>29</v>
      </c>
      <c r="H41" s="42">
        <f>(1/G36)*H28*52.177</f>
        <v>26735.999999999996</v>
      </c>
      <c r="I41" s="42">
        <f>(1/G36)*I28*52.177</f>
        <v>36000</v>
      </c>
      <c r="J41" s="42">
        <f>(1/G36)*J28*52.177</f>
        <v>44400</v>
      </c>
      <c r="K41" s="42">
        <f>(1/G36)*K28*52.177</f>
        <v>71376</v>
      </c>
      <c r="L41" s="43"/>
      <c r="M41" s="46" t="s">
        <v>29</v>
      </c>
      <c r="N41" s="42">
        <f>(1/M36)*N28*52.177</f>
        <v>32083.199999999997</v>
      </c>
      <c r="O41" s="42">
        <f>(1/M36)*O28*52.177</f>
        <v>43200</v>
      </c>
      <c r="P41" s="42">
        <f>(1/M36)*P28*52.177</f>
        <v>53279.999999999993</v>
      </c>
      <c r="Q41" s="42">
        <f>(1/M36)*Q28*52.177</f>
        <v>85651.199999999997</v>
      </c>
      <c r="R41" s="43"/>
      <c r="S41" s="46" t="s">
        <v>29</v>
      </c>
      <c r="T41" s="42">
        <f>(1/S36)*T28*52.177</f>
        <v>34756.799999999996</v>
      </c>
      <c r="U41" s="42">
        <f>(1/S36)*U28*52.177</f>
        <v>46800.000000000007</v>
      </c>
      <c r="V41" s="42">
        <f>(1/S36)*V28*52.177</f>
        <v>57720.000000000007</v>
      </c>
      <c r="W41" s="42">
        <f>(1/S36)*W28*52.177</f>
        <v>92788.800000000003</v>
      </c>
      <c r="X41" s="43"/>
      <c r="Y41" s="46" t="s">
        <v>29</v>
      </c>
      <c r="Z41" s="42">
        <f>(1/Y36)*Z28*52.177</f>
        <v>37430.399999999994</v>
      </c>
      <c r="AA41" s="42">
        <f>(1/Y36)*AA28*52.177</f>
        <v>50400</v>
      </c>
      <c r="AB41" s="42">
        <f>(1/Y36)*AB28*52.177</f>
        <v>62159.999999999993</v>
      </c>
      <c r="AC41" s="42">
        <f>(1/Y36)*AC28*52.177</f>
        <v>99926.399999999994</v>
      </c>
      <c r="AD41" s="43"/>
      <c r="AE41" s="46" t="s">
        <v>29</v>
      </c>
      <c r="AF41" s="42">
        <f>(1/AE36)*AF28*52.177</f>
        <v>42777.599999999999</v>
      </c>
      <c r="AG41" s="42">
        <f>(1/AE36)*AG28*52.177</f>
        <v>57600.000000000007</v>
      </c>
      <c r="AH41" s="42">
        <f>(1/AE36)*AH28*52.177</f>
        <v>71040</v>
      </c>
      <c r="AI41" s="42">
        <f>(1/AE36)*AI28*52.177</f>
        <v>114201.60000000001</v>
      </c>
      <c r="AJ41" s="43"/>
      <c r="AK41" s="46" t="s">
        <v>29</v>
      </c>
      <c r="AL41" s="42">
        <f>(1/AK36)*AL28*52.177</f>
        <v>53471.999999999993</v>
      </c>
      <c r="AM41" s="42">
        <f>(1/AK36)*AM28*52.177</f>
        <v>72000</v>
      </c>
      <c r="AN41" s="42">
        <f>(1/AK36)*AN28*52.177</f>
        <v>88800</v>
      </c>
      <c r="AO41" s="42">
        <f>(1/AK36)*AO28*52.177</f>
        <v>142752</v>
      </c>
    </row>
    <row r="42" spans="1:41" x14ac:dyDescent="0.2">
      <c r="A42" s="45" t="s">
        <v>28</v>
      </c>
      <c r="B42" s="42">
        <f>(1/A36)*B29*52.177</f>
        <v>28492.799999999999</v>
      </c>
      <c r="C42" s="42">
        <f>(1/A36)*C29*52.177</f>
        <v>34944</v>
      </c>
      <c r="D42" s="42">
        <f>(1/A36)*D29*52.177</f>
        <v>47923.200000000004</v>
      </c>
      <c r="E42" s="42">
        <f>(1/A36)*E29*52.177</f>
        <v>68851.199999999997</v>
      </c>
      <c r="G42" s="45" t="s">
        <v>28</v>
      </c>
      <c r="H42" s="42">
        <f>(1/G36)*H29*52.177</f>
        <v>35616</v>
      </c>
      <c r="I42" s="42">
        <f>(1/G36)*I29*52.177</f>
        <v>43680</v>
      </c>
      <c r="J42" s="42">
        <f>(1/G36)*J29*52.177</f>
        <v>59904</v>
      </c>
      <c r="K42" s="42">
        <f>(1/G36)*K29*52.177</f>
        <v>86064</v>
      </c>
      <c r="L42" s="43"/>
      <c r="M42" s="46" t="s">
        <v>28</v>
      </c>
      <c r="N42" s="42">
        <f>(1/M36)*N29*52.177</f>
        <v>42739.199999999997</v>
      </c>
      <c r="O42" s="42">
        <f>(1/M36)*O29*52.177</f>
        <v>52416</v>
      </c>
      <c r="P42" s="42">
        <f>(1/M36)*P29*52.177</f>
        <v>71884.800000000003</v>
      </c>
      <c r="Q42" s="42">
        <f>(1/M36)*Q29*52.177</f>
        <v>103276.8</v>
      </c>
      <c r="R42" s="43"/>
      <c r="S42" s="46" t="s">
        <v>28</v>
      </c>
      <c r="T42" s="42">
        <f>(1/S36)*T29*52.177</f>
        <v>46300.800000000003</v>
      </c>
      <c r="U42" s="42">
        <f>(1/S36)*U29*52.177</f>
        <v>56783.999999999993</v>
      </c>
      <c r="V42" s="42">
        <f>(1/S36)*V29*52.177</f>
        <v>77875.199999999997</v>
      </c>
      <c r="W42" s="42">
        <f>(1/S36)*W29*52.177</f>
        <v>111883.2</v>
      </c>
      <c r="X42" s="43"/>
      <c r="Y42" s="46" t="s">
        <v>28</v>
      </c>
      <c r="Z42" s="42">
        <f>(1/Y36)*Z29*52.177</f>
        <v>49862.399999999994</v>
      </c>
      <c r="AA42" s="42">
        <f>(1/Y36)*AA29*52.177</f>
        <v>61151.999999999993</v>
      </c>
      <c r="AB42" s="42">
        <f>(1/Y36)*AB29*52.177</f>
        <v>83865.599999999991</v>
      </c>
      <c r="AC42" s="42">
        <f>(1/Y36)*AC29*52.177</f>
        <v>120489.60000000001</v>
      </c>
      <c r="AD42" s="43"/>
      <c r="AE42" s="46" t="s">
        <v>28</v>
      </c>
      <c r="AF42" s="42">
        <f>(1/AE36)*AF29*52.177</f>
        <v>56985.599999999999</v>
      </c>
      <c r="AG42" s="42">
        <f>(1/AE36)*AG29*52.177</f>
        <v>69888</v>
      </c>
      <c r="AH42" s="42">
        <f>(1/AE36)*AH29*52.177</f>
        <v>95846.400000000009</v>
      </c>
      <c r="AI42" s="42">
        <f>(1/AE36)*AI29*52.177</f>
        <v>137702.39999999999</v>
      </c>
      <c r="AJ42" s="43"/>
      <c r="AK42" s="46" t="s">
        <v>28</v>
      </c>
      <c r="AL42" s="42">
        <f>(1/AK36)*AL29*52.177</f>
        <v>71232</v>
      </c>
      <c r="AM42" s="42">
        <f>(1/AK36)*AM29*52.177</f>
        <v>87360</v>
      </c>
      <c r="AN42" s="42">
        <f>(1/AK36)*AN29*52.177</f>
        <v>119808</v>
      </c>
      <c r="AO42" s="42">
        <f>(1/AK36)*AO29*52.177</f>
        <v>172128</v>
      </c>
    </row>
    <row r="43" spans="1:41" x14ac:dyDescent="0.2">
      <c r="A43" s="45" t="s">
        <v>27</v>
      </c>
      <c r="B43" s="42">
        <f>(1/A36)*B30*52.177</f>
        <v>24960</v>
      </c>
      <c r="C43" s="42">
        <f>(1/A36)*C30*52.177</f>
        <v>30777.599999999999</v>
      </c>
      <c r="D43" s="42">
        <f>(1/A36)*D30*52.177</f>
        <v>38265.599999999999</v>
      </c>
      <c r="E43" s="42">
        <f>(1/A36)*E30*52.177</f>
        <v>54508.800000000003</v>
      </c>
      <c r="G43" s="45" t="s">
        <v>27</v>
      </c>
      <c r="H43" s="42">
        <f>(1/G36)*H30*52.177</f>
        <v>31199.999999999996</v>
      </c>
      <c r="I43" s="42">
        <f>(1/G36)*I30*52.177</f>
        <v>38472</v>
      </c>
      <c r="J43" s="42">
        <f>(1/G36)*J30*52.177</f>
        <v>47832</v>
      </c>
      <c r="K43" s="42">
        <f>(1/G36)*K30*52.177</f>
        <v>68136</v>
      </c>
      <c r="L43" s="43"/>
      <c r="M43" s="46" t="s">
        <v>27</v>
      </c>
      <c r="N43" s="42">
        <f>(1/M36)*N30*52.177</f>
        <v>37440</v>
      </c>
      <c r="O43" s="42">
        <f>(1/M36)*O30*52.177</f>
        <v>46166.400000000001</v>
      </c>
      <c r="P43" s="42">
        <f>(1/M36)*P30*52.177</f>
        <v>57398.399999999994</v>
      </c>
      <c r="Q43" s="42">
        <f>(1/M36)*Q30*52.177</f>
        <v>81763.199999999983</v>
      </c>
      <c r="R43" s="43"/>
      <c r="S43" s="46" t="s">
        <v>27</v>
      </c>
      <c r="T43" s="42">
        <f>(1/S36)*T30*52.177</f>
        <v>40560</v>
      </c>
      <c r="U43" s="42">
        <f>(1/S36)*U30*52.177</f>
        <v>50013.599999999999</v>
      </c>
      <c r="V43" s="42">
        <f>(1/S36)*V30*52.177</f>
        <v>62181.600000000006</v>
      </c>
      <c r="W43" s="42">
        <f>(1/S36)*W30*52.177</f>
        <v>88576.8</v>
      </c>
      <c r="X43" s="43"/>
      <c r="Y43" s="46" t="s">
        <v>27</v>
      </c>
      <c r="Z43" s="42">
        <f>(1/Y36)*Z30*52.177</f>
        <v>43679.999999999993</v>
      </c>
      <c r="AA43" s="42">
        <f>(1/Y36)*AA30*52.177</f>
        <v>53860.800000000003</v>
      </c>
      <c r="AB43" s="42">
        <f>(1/Y36)*AB30*52.177</f>
        <v>66964.799999999988</v>
      </c>
      <c r="AC43" s="42">
        <f>(1/Y36)*AC30*52.177</f>
        <v>95390.399999999994</v>
      </c>
      <c r="AD43" s="43"/>
      <c r="AE43" s="46" t="s">
        <v>27</v>
      </c>
      <c r="AF43" s="42">
        <f>(1/AE36)*AF30*52.177</f>
        <v>49920</v>
      </c>
      <c r="AG43" s="42">
        <f>(1/AE36)*AG30*52.177</f>
        <v>61555.199999999997</v>
      </c>
      <c r="AH43" s="42">
        <f>(1/AE36)*AH30*52.177</f>
        <v>76531.199999999997</v>
      </c>
      <c r="AI43" s="42">
        <f>(1/AE36)*AI30*52.177</f>
        <v>109017.60000000001</v>
      </c>
      <c r="AJ43" s="43"/>
      <c r="AK43" s="46" t="s">
        <v>27</v>
      </c>
      <c r="AL43" s="42">
        <f>(1/AK36)*AL30*52.177</f>
        <v>62399.999999999993</v>
      </c>
      <c r="AM43" s="42">
        <f>(1/AK36)*AM30*52.177</f>
        <v>76944</v>
      </c>
      <c r="AN43" s="42">
        <f>(1/AK36)*AN30*52.177</f>
        <v>95664</v>
      </c>
      <c r="AO43" s="42">
        <f>(1/AK36)*AO30*52.177</f>
        <v>136272</v>
      </c>
    </row>
    <row r="44" spans="1:41" x14ac:dyDescent="0.2">
      <c r="A44" s="45" t="s">
        <v>33</v>
      </c>
      <c r="B44" s="42">
        <f>(1/A36)*B31*52.177</f>
        <v>23731.200000000004</v>
      </c>
      <c r="C44" s="42">
        <f>(1/A36)*C31*52.177</f>
        <v>26880</v>
      </c>
      <c r="D44" s="42">
        <f>(1/A36)*D31*52.177</f>
        <v>35040</v>
      </c>
      <c r="E44" s="42">
        <f>(1/A36)*E31*52.177</f>
        <v>52800</v>
      </c>
      <c r="G44" s="45" t="s">
        <v>33</v>
      </c>
      <c r="H44" s="42">
        <f>(1/G36)*H31*52.177</f>
        <v>29664.000000000004</v>
      </c>
      <c r="I44" s="42">
        <f>(1/G36)*I31*52.177</f>
        <v>33600</v>
      </c>
      <c r="J44" s="42">
        <f>(1/G36)*J31*52.177</f>
        <v>43800</v>
      </c>
      <c r="K44" s="42">
        <f>(1/G36)*K31*52.177</f>
        <v>66000</v>
      </c>
      <c r="L44" s="43"/>
      <c r="M44" s="46" t="s">
        <v>33</v>
      </c>
      <c r="N44" s="42">
        <f>(1/M36)*N31*52.177</f>
        <v>35596.800000000003</v>
      </c>
      <c r="O44" s="42">
        <f>(1/M36)*O31*52.177</f>
        <v>40320</v>
      </c>
      <c r="P44" s="42">
        <f>(1/M36)*P31*52.177</f>
        <v>52559.999999999993</v>
      </c>
      <c r="Q44" s="42">
        <f>(1/M36)*Q31*52.177</f>
        <v>79200</v>
      </c>
      <c r="R44" s="43"/>
      <c r="S44" s="46" t="s">
        <v>33</v>
      </c>
      <c r="T44" s="42">
        <f>(1/S36)*T31*52.177</f>
        <v>38563.200000000004</v>
      </c>
      <c r="U44" s="42">
        <f>(1/S36)*U31*52.177</f>
        <v>43680</v>
      </c>
      <c r="V44" s="42">
        <f>(1/S36)*V31*52.177</f>
        <v>56940</v>
      </c>
      <c r="W44" s="42">
        <f>(1/S36)*W31*52.177</f>
        <v>85800</v>
      </c>
      <c r="X44" s="43"/>
      <c r="Y44" s="46" t="s">
        <v>33</v>
      </c>
      <c r="Z44" s="42">
        <f>(1/Y36)*Z31*52.177</f>
        <v>41529.600000000006</v>
      </c>
      <c r="AA44" s="42">
        <f>(1/Y36)*AA31*52.177</f>
        <v>47039.999999999993</v>
      </c>
      <c r="AB44" s="42">
        <f>(1/Y36)*AB31*52.177</f>
        <v>61320</v>
      </c>
      <c r="AC44" s="42">
        <f>(1/Y36)*AC31*52.177</f>
        <v>92400</v>
      </c>
      <c r="AD44" s="43"/>
      <c r="AE44" s="46" t="s">
        <v>33</v>
      </c>
      <c r="AF44" s="42">
        <f>(1/AE36)*AF31*52.177</f>
        <v>47462.400000000009</v>
      </c>
      <c r="AG44" s="42">
        <f>(1/AE36)*AG31*52.177</f>
        <v>53760</v>
      </c>
      <c r="AH44" s="42">
        <f>(1/AE36)*AH31*52.177</f>
        <v>70080</v>
      </c>
      <c r="AI44" s="42">
        <f>(1/AE36)*AI31*52.177</f>
        <v>105600</v>
      </c>
      <c r="AJ44" s="43"/>
      <c r="AK44" s="46" t="s">
        <v>33</v>
      </c>
      <c r="AL44" s="42">
        <f>(1/AK36)*AL31*52.177</f>
        <v>59328.000000000007</v>
      </c>
      <c r="AM44" s="42">
        <f>(1/AK36)*AM31*52.177</f>
        <v>67200</v>
      </c>
      <c r="AN44" s="42">
        <f>(1/AK36)*AN31*52.177</f>
        <v>87600</v>
      </c>
      <c r="AO44" s="42">
        <f>(1/AK36)*AO31*52.177</f>
        <v>132000</v>
      </c>
    </row>
    <row r="45" spans="1:41" x14ac:dyDescent="0.2">
      <c r="A45" s="45" t="s">
        <v>32</v>
      </c>
      <c r="B45" s="42">
        <f>(1/A36)*B32*52.177</f>
        <v>23212.800000000003</v>
      </c>
      <c r="C45" s="42">
        <f>(1/A36)*C32*52.177</f>
        <v>28704.000000000004</v>
      </c>
      <c r="D45" s="42">
        <f>(1/A36)*D32*52.177</f>
        <v>40300.800000000003</v>
      </c>
      <c r="E45" s="42">
        <f>(1/A36)*E32*52.177</f>
        <v>57580.800000000003</v>
      </c>
      <c r="G45" s="45" t="s">
        <v>32</v>
      </c>
      <c r="H45" s="42">
        <f>(1/G36)*H32*52.177</f>
        <v>29016</v>
      </c>
      <c r="I45" s="42">
        <f>(1/G36)*I32*52.177</f>
        <v>35880</v>
      </c>
      <c r="J45" s="42">
        <f>(1/G36)*J32*52.177</f>
        <v>50376</v>
      </c>
      <c r="K45" s="42">
        <f>(1/G36)*K32*52.177</f>
        <v>71976</v>
      </c>
      <c r="L45" s="43"/>
      <c r="M45" s="46" t="s">
        <v>32</v>
      </c>
      <c r="N45" s="42">
        <f>(1/M36)*N32*52.177</f>
        <v>34819.199999999997</v>
      </c>
      <c r="O45" s="42">
        <f>(1/M36)*O32*52.177</f>
        <v>43056</v>
      </c>
      <c r="P45" s="42">
        <f>(1/M36)*P32*52.177</f>
        <v>60451.200000000004</v>
      </c>
      <c r="Q45" s="42">
        <f>(1/M36)*Q32*52.177</f>
        <v>86371.199999999997</v>
      </c>
      <c r="R45" s="43"/>
      <c r="S45" s="46" t="s">
        <v>32</v>
      </c>
      <c r="T45" s="42">
        <f>(1/S36)*T32*52.177</f>
        <v>37720.799999999996</v>
      </c>
      <c r="U45" s="42">
        <f>(1/S36)*U32*52.177</f>
        <v>46644</v>
      </c>
      <c r="V45" s="42">
        <f>(1/S36)*V32*52.177</f>
        <v>65488.800000000003</v>
      </c>
      <c r="W45" s="42">
        <f>(1/S36)*W32*52.177</f>
        <v>93568.8</v>
      </c>
      <c r="X45" s="43"/>
      <c r="Y45" s="46" t="s">
        <v>32</v>
      </c>
      <c r="Z45" s="42">
        <f>(1/Y36)*Z32*52.177</f>
        <v>40622.399999999994</v>
      </c>
      <c r="AA45" s="42">
        <f>(1/Y36)*AA32*52.177</f>
        <v>50232</v>
      </c>
      <c r="AB45" s="42">
        <f>(1/Y36)*AB32*52.177</f>
        <v>70526.399999999994</v>
      </c>
      <c r="AC45" s="42">
        <f>(1/Y36)*AC32*52.177</f>
        <v>100766.39999999999</v>
      </c>
      <c r="AD45" s="43"/>
      <c r="AE45" s="46" t="s">
        <v>32</v>
      </c>
      <c r="AF45" s="42">
        <f>(1/AE36)*AF32*52.177</f>
        <v>46425.600000000006</v>
      </c>
      <c r="AG45" s="42">
        <f>(1/AE36)*AG32*52.177</f>
        <v>57408.000000000007</v>
      </c>
      <c r="AH45" s="42">
        <f>(1/AE36)*AH32*52.177</f>
        <v>80601.600000000006</v>
      </c>
      <c r="AI45" s="42">
        <f>(1/AE36)*AI32*52.177</f>
        <v>115161.60000000001</v>
      </c>
      <c r="AJ45" s="43"/>
      <c r="AK45" s="46" t="s">
        <v>32</v>
      </c>
      <c r="AL45" s="42">
        <f>(1/AK36)*AL32*52.177</f>
        <v>58032</v>
      </c>
      <c r="AM45" s="42">
        <f>(1/AK36)*AM32*52.177</f>
        <v>71760</v>
      </c>
      <c r="AN45" s="42">
        <f>(1/AK36)*AN32*52.177</f>
        <v>100752</v>
      </c>
      <c r="AO45" s="42">
        <f>(1/AK36)*AO32*52.177</f>
        <v>143952</v>
      </c>
    </row>
    <row r="46" spans="1:41" x14ac:dyDescent="0.2">
      <c r="A46" s="45" t="s">
        <v>31</v>
      </c>
      <c r="B46" s="42">
        <f>(1/A36)*B33*52.177</f>
        <v>23289.600000000002</v>
      </c>
      <c r="C46" s="42">
        <f>(1/A36)*C33*52.177</f>
        <v>28780.800000000003</v>
      </c>
      <c r="D46" s="42">
        <f>(1/A36)*D33*52.177</f>
        <v>43468.799999999996</v>
      </c>
      <c r="E46" s="42">
        <f>(1/A36)*E33*52.177</f>
        <v>71040</v>
      </c>
      <c r="G46" s="45" t="s">
        <v>31</v>
      </c>
      <c r="H46" s="42">
        <f>(1/G36)*H33*52.177</f>
        <v>29112.000000000004</v>
      </c>
      <c r="I46" s="42">
        <f>(1/G36)*I33*52.177</f>
        <v>35976</v>
      </c>
      <c r="J46" s="42">
        <f>(1/G36)*J33*52.177</f>
        <v>54335.999999999993</v>
      </c>
      <c r="K46" s="42">
        <f>(1/G36)*K33*52.177</f>
        <v>88800</v>
      </c>
      <c r="L46" s="43"/>
      <c r="M46" s="46" t="s">
        <v>31</v>
      </c>
      <c r="N46" s="42">
        <f>(1/M36)*N33*52.177</f>
        <v>34934.400000000001</v>
      </c>
      <c r="O46" s="42">
        <f>(1/M36)*O33*52.177</f>
        <v>43171.199999999997</v>
      </c>
      <c r="P46" s="42">
        <f>(1/M36)*P33*52.177</f>
        <v>65203.19999999999</v>
      </c>
      <c r="Q46" s="42">
        <f>(1/M36)*Q33*52.177</f>
        <v>106559.99999999999</v>
      </c>
      <c r="R46" s="43"/>
      <c r="S46" s="46" t="s">
        <v>31</v>
      </c>
      <c r="T46" s="42">
        <f>(1/S36)*T33*52.177</f>
        <v>37845.600000000006</v>
      </c>
      <c r="U46" s="42">
        <f>(1/S36)*U33*52.177</f>
        <v>46768.799999999996</v>
      </c>
      <c r="V46" s="42">
        <f>(1/S36)*V33*52.177</f>
        <v>70636.800000000003</v>
      </c>
      <c r="W46" s="42">
        <f>(1/S36)*W33*52.177</f>
        <v>115440.00000000001</v>
      </c>
      <c r="X46" s="43"/>
      <c r="Y46" s="46" t="s">
        <v>31</v>
      </c>
      <c r="Z46" s="42">
        <f>(1/Y36)*Z33*52.177</f>
        <v>40756.800000000003</v>
      </c>
      <c r="AA46" s="42">
        <f>(1/Y36)*AA33*52.177</f>
        <v>50366.399999999994</v>
      </c>
      <c r="AB46" s="42">
        <f>(1/Y36)*AB33*52.177</f>
        <v>76070.399999999994</v>
      </c>
      <c r="AC46" s="42">
        <f>(1/Y36)*AC33*52.177</f>
        <v>124319.99999999999</v>
      </c>
      <c r="AD46" s="43"/>
      <c r="AE46" s="46" t="s">
        <v>31</v>
      </c>
      <c r="AF46" s="42">
        <f>(1/AE36)*AF33*52.177</f>
        <v>46579.200000000004</v>
      </c>
      <c r="AG46" s="42">
        <f>(1/AE36)*AG33*52.177</f>
        <v>57561.600000000006</v>
      </c>
      <c r="AH46" s="42">
        <f>(1/AE36)*AH33*52.177</f>
        <v>86937.599999999991</v>
      </c>
      <c r="AI46" s="42">
        <f>(1/AE36)*AI33*52.177</f>
        <v>142080</v>
      </c>
      <c r="AJ46" s="43"/>
      <c r="AK46" s="46" t="s">
        <v>31</v>
      </c>
      <c r="AL46" s="42">
        <f>(1/AK36)*AL33*52.177</f>
        <v>58224.000000000007</v>
      </c>
      <c r="AM46" s="42">
        <f>(1/AK36)*AM33*52.177</f>
        <v>71952</v>
      </c>
      <c r="AN46" s="42">
        <f>(1/AK36)*AN33*52.177</f>
        <v>108671.99999999999</v>
      </c>
      <c r="AO46" s="42">
        <f>(1/AK36)*AO33*52.177</f>
        <v>177600</v>
      </c>
    </row>
    <row r="47" spans="1:41" x14ac:dyDescent="0.2">
      <c r="A47" s="6"/>
      <c r="G47" s="6"/>
      <c r="M47" s="6"/>
      <c r="S47" s="6"/>
      <c r="Y47" s="6"/>
      <c r="AE47" s="6"/>
      <c r="AK47" s="6"/>
    </row>
    <row r="48" spans="1:41" x14ac:dyDescent="0.2">
      <c r="A48" s="44" t="s">
        <v>115</v>
      </c>
      <c r="B48" s="41"/>
      <c r="C48" s="5"/>
      <c r="D48" s="5"/>
      <c r="E48" s="5"/>
      <c r="G48" s="44" t="s">
        <v>115</v>
      </c>
      <c r="H48" s="41"/>
      <c r="I48" s="5"/>
      <c r="J48" s="5"/>
      <c r="K48" s="5"/>
      <c r="M48" s="44" t="s">
        <v>115</v>
      </c>
      <c r="N48" s="41"/>
      <c r="O48" s="5"/>
      <c r="P48" s="5"/>
      <c r="Q48" s="5"/>
      <c r="S48" s="44" t="s">
        <v>115</v>
      </c>
      <c r="T48" s="41"/>
      <c r="U48" s="5"/>
      <c r="V48" s="5"/>
      <c r="W48" s="5"/>
      <c r="Y48" s="44" t="s">
        <v>115</v>
      </c>
      <c r="Z48" s="41"/>
      <c r="AA48" s="5"/>
      <c r="AB48" s="5"/>
      <c r="AC48" s="5"/>
      <c r="AE48" s="44" t="s">
        <v>115</v>
      </c>
      <c r="AF48" s="41"/>
      <c r="AG48" s="5"/>
      <c r="AH48" s="5"/>
      <c r="AI48" s="5"/>
      <c r="AK48" s="44" t="s">
        <v>115</v>
      </c>
      <c r="AL48" s="41"/>
      <c r="AM48" s="5"/>
      <c r="AN48" s="5"/>
      <c r="AO48" s="5"/>
    </row>
    <row r="49" spans="1:41" x14ac:dyDescent="0.2">
      <c r="A49" s="65">
        <v>0.3</v>
      </c>
      <c r="B49" s="2">
        <v>1</v>
      </c>
      <c r="C49" s="2">
        <v>2</v>
      </c>
      <c r="D49" s="2">
        <v>3</v>
      </c>
      <c r="E49" s="2" t="s">
        <v>24</v>
      </c>
      <c r="G49" s="65">
        <v>0.3</v>
      </c>
      <c r="H49" s="2">
        <v>1</v>
      </c>
      <c r="I49" s="2">
        <v>2</v>
      </c>
      <c r="J49" s="2">
        <v>3</v>
      </c>
      <c r="K49" s="2" t="s">
        <v>24</v>
      </c>
      <c r="M49" s="68">
        <f>$G$49</f>
        <v>0.3</v>
      </c>
      <c r="N49" s="2">
        <v>1</v>
      </c>
      <c r="O49" s="2">
        <v>2</v>
      </c>
      <c r="P49" s="2">
        <v>3</v>
      </c>
      <c r="Q49" s="2" t="s">
        <v>24</v>
      </c>
      <c r="S49" s="68">
        <f>$G$49</f>
        <v>0.3</v>
      </c>
      <c r="T49" s="2">
        <v>1</v>
      </c>
      <c r="U49" s="2">
        <v>2</v>
      </c>
      <c r="V49" s="2">
        <v>3</v>
      </c>
      <c r="W49" s="2" t="s">
        <v>24</v>
      </c>
      <c r="Y49" s="68">
        <f>$G$49</f>
        <v>0.3</v>
      </c>
      <c r="Z49" s="2">
        <v>1</v>
      </c>
      <c r="AA49" s="2">
        <v>2</v>
      </c>
      <c r="AB49" s="2">
        <v>3</v>
      </c>
      <c r="AC49" s="2" t="s">
        <v>24</v>
      </c>
      <c r="AE49" s="68">
        <f>$G$49</f>
        <v>0.3</v>
      </c>
      <c r="AF49" s="2">
        <v>1</v>
      </c>
      <c r="AG49" s="2">
        <v>2</v>
      </c>
      <c r="AH49" s="2">
        <v>3</v>
      </c>
      <c r="AI49" s="2" t="s">
        <v>24</v>
      </c>
      <c r="AK49" s="68">
        <f>$G$49</f>
        <v>0.3</v>
      </c>
      <c r="AL49" s="2">
        <v>1</v>
      </c>
      <c r="AM49" s="2">
        <v>2</v>
      </c>
      <c r="AN49" s="2">
        <v>3</v>
      </c>
      <c r="AO49" s="2" t="s">
        <v>24</v>
      </c>
    </row>
    <row r="50" spans="1:41" x14ac:dyDescent="0.2">
      <c r="A50" s="6" t="s">
        <v>36</v>
      </c>
      <c r="B50" s="42">
        <f t="shared" ref="B50:E59" si="29">(1/$G$49)*B24*52.177</f>
        <v>24608</v>
      </c>
      <c r="C50" s="42">
        <f t="shared" si="29"/>
        <v>31200.000000000004</v>
      </c>
      <c r="D50" s="42">
        <f t="shared" si="29"/>
        <v>39872.000000000007</v>
      </c>
      <c r="E50" s="42">
        <f t="shared" si="29"/>
        <v>47328</v>
      </c>
      <c r="G50" s="45" t="s">
        <v>36</v>
      </c>
      <c r="H50" s="42">
        <f t="shared" ref="H50:K57" si="30">(1/$G$49)*H24*52.177</f>
        <v>30760.000000000004</v>
      </c>
      <c r="I50" s="42">
        <f t="shared" si="30"/>
        <v>39000</v>
      </c>
      <c r="J50" s="42">
        <f t="shared" si="30"/>
        <v>49840.000000000007</v>
      </c>
      <c r="K50" s="42">
        <f t="shared" si="30"/>
        <v>59160</v>
      </c>
      <c r="M50" s="45" t="s">
        <v>36</v>
      </c>
      <c r="N50" s="42">
        <f t="shared" ref="N50:Q59" si="31">(1/$G$49)*N24*52.177</f>
        <v>36912</v>
      </c>
      <c r="O50" s="42">
        <f t="shared" si="31"/>
        <v>46800</v>
      </c>
      <c r="P50" s="42">
        <f t="shared" si="31"/>
        <v>59808.000000000007</v>
      </c>
      <c r="Q50" s="42">
        <f t="shared" si="31"/>
        <v>70992</v>
      </c>
      <c r="S50" s="45" t="s">
        <v>36</v>
      </c>
      <c r="T50" s="42">
        <f t="shared" ref="T50:W59" si="32">(1/$G$49)*T24*52.177</f>
        <v>39988</v>
      </c>
      <c r="U50" s="42">
        <f t="shared" si="32"/>
        <v>50700</v>
      </c>
      <c r="V50" s="42">
        <f t="shared" si="32"/>
        <v>64792.000000000015</v>
      </c>
      <c r="W50" s="42">
        <f t="shared" si="32"/>
        <v>76908</v>
      </c>
      <c r="Y50" s="45" t="s">
        <v>36</v>
      </c>
      <c r="Z50" s="42">
        <f t="shared" ref="Z50:AC59" si="33">(1/$G$49)*Z24*52.177</f>
        <v>43064</v>
      </c>
      <c r="AA50" s="42">
        <f t="shared" si="33"/>
        <v>54600</v>
      </c>
      <c r="AB50" s="42">
        <f t="shared" si="33"/>
        <v>69776</v>
      </c>
      <c r="AC50" s="42">
        <f t="shared" si="33"/>
        <v>82824</v>
      </c>
      <c r="AE50" s="45" t="s">
        <v>36</v>
      </c>
      <c r="AF50" s="42">
        <f t="shared" ref="AF50:AI59" si="34">(1/$G$49)*AF24*52.177</f>
        <v>49216</v>
      </c>
      <c r="AG50" s="42">
        <f t="shared" si="34"/>
        <v>62400.000000000007</v>
      </c>
      <c r="AH50" s="42">
        <f t="shared" si="34"/>
        <v>79744.000000000015</v>
      </c>
      <c r="AI50" s="42">
        <f t="shared" si="34"/>
        <v>94656</v>
      </c>
      <c r="AK50" s="45" t="s">
        <v>36</v>
      </c>
      <c r="AL50" s="42">
        <f t="shared" ref="AL50:AO59" si="35">(1/$G$49)*AL24*52.177</f>
        <v>61520.000000000007</v>
      </c>
      <c r="AM50" s="42">
        <f t="shared" si="35"/>
        <v>78000</v>
      </c>
      <c r="AN50" s="42">
        <f t="shared" si="35"/>
        <v>99680.000000000015</v>
      </c>
      <c r="AO50" s="42">
        <f t="shared" si="35"/>
        <v>118320</v>
      </c>
    </row>
    <row r="51" spans="1:41" x14ac:dyDescent="0.2">
      <c r="A51" s="45" t="s">
        <v>26</v>
      </c>
      <c r="B51" s="42">
        <f t="shared" si="29"/>
        <v>27504.000000000007</v>
      </c>
      <c r="C51" s="42">
        <f t="shared" si="29"/>
        <v>36048.000000000007</v>
      </c>
      <c r="D51" s="42">
        <f t="shared" si="29"/>
        <v>50096</v>
      </c>
      <c r="E51" s="42">
        <f t="shared" si="29"/>
        <v>47152</v>
      </c>
      <c r="G51" s="45" t="s">
        <v>26</v>
      </c>
      <c r="H51" s="42">
        <f t="shared" si="30"/>
        <v>34380.000000000007</v>
      </c>
      <c r="I51" s="42">
        <f t="shared" si="30"/>
        <v>45060.000000000007</v>
      </c>
      <c r="J51" s="42">
        <f t="shared" si="30"/>
        <v>62620.000000000007</v>
      </c>
      <c r="K51" s="42">
        <f t="shared" si="30"/>
        <v>58940.000000000007</v>
      </c>
      <c r="M51" s="45" t="s">
        <v>26</v>
      </c>
      <c r="N51" s="42">
        <f t="shared" si="31"/>
        <v>41256</v>
      </c>
      <c r="O51" s="42">
        <f t="shared" si="31"/>
        <v>54072.000000000007</v>
      </c>
      <c r="P51" s="42">
        <f t="shared" si="31"/>
        <v>75144</v>
      </c>
      <c r="Q51" s="42">
        <f t="shared" si="31"/>
        <v>70728</v>
      </c>
      <c r="S51" s="45" t="s">
        <v>26</v>
      </c>
      <c r="T51" s="42">
        <f t="shared" si="32"/>
        <v>44694</v>
      </c>
      <c r="U51" s="42">
        <f t="shared" si="32"/>
        <v>58578.000000000007</v>
      </c>
      <c r="V51" s="42">
        <f t="shared" si="32"/>
        <v>81406</v>
      </c>
      <c r="W51" s="42">
        <f t="shared" si="32"/>
        <v>76622</v>
      </c>
      <c r="Y51" s="45" t="s">
        <v>26</v>
      </c>
      <c r="Z51" s="42">
        <f t="shared" si="33"/>
        <v>48132.000000000007</v>
      </c>
      <c r="AA51" s="42">
        <f t="shared" si="33"/>
        <v>63084.000000000015</v>
      </c>
      <c r="AB51" s="42">
        <f t="shared" si="33"/>
        <v>87668</v>
      </c>
      <c r="AC51" s="42">
        <f t="shared" si="33"/>
        <v>82515.999999999985</v>
      </c>
      <c r="AE51" s="45" t="s">
        <v>26</v>
      </c>
      <c r="AF51" s="42">
        <f t="shared" si="34"/>
        <v>55008.000000000015</v>
      </c>
      <c r="AG51" s="42">
        <f t="shared" si="34"/>
        <v>72096.000000000015</v>
      </c>
      <c r="AH51" s="42">
        <f t="shared" si="34"/>
        <v>100192</v>
      </c>
      <c r="AI51" s="42">
        <f t="shared" si="34"/>
        <v>94304</v>
      </c>
      <c r="AK51" s="45" t="s">
        <v>26</v>
      </c>
      <c r="AL51" s="42">
        <f t="shared" si="35"/>
        <v>68760.000000000015</v>
      </c>
      <c r="AM51" s="42">
        <f t="shared" si="35"/>
        <v>90120.000000000015</v>
      </c>
      <c r="AN51" s="42">
        <f t="shared" si="35"/>
        <v>125240.00000000001</v>
      </c>
      <c r="AO51" s="42">
        <f t="shared" si="35"/>
        <v>117880.00000000001</v>
      </c>
    </row>
    <row r="52" spans="1:41" x14ac:dyDescent="0.2">
      <c r="A52" s="45" t="s">
        <v>25</v>
      </c>
      <c r="B52" s="42">
        <f t="shared" si="29"/>
        <v>20800</v>
      </c>
      <c r="C52" s="42">
        <f t="shared" si="29"/>
        <v>24960.000000000004</v>
      </c>
      <c r="D52" s="42">
        <f t="shared" si="29"/>
        <v>32800.000000000007</v>
      </c>
      <c r="E52" s="42">
        <f t="shared" si="29"/>
        <v>45072.000000000007</v>
      </c>
      <c r="G52" s="45" t="s">
        <v>25</v>
      </c>
      <c r="H52" s="42">
        <f t="shared" si="30"/>
        <v>26000</v>
      </c>
      <c r="I52" s="42">
        <f t="shared" si="30"/>
        <v>31199.999999999996</v>
      </c>
      <c r="J52" s="42">
        <f t="shared" si="30"/>
        <v>41000</v>
      </c>
      <c r="K52" s="42">
        <f t="shared" si="30"/>
        <v>56340</v>
      </c>
      <c r="M52" s="45" t="s">
        <v>25</v>
      </c>
      <c r="N52" s="42">
        <f t="shared" si="31"/>
        <v>31199.999999999996</v>
      </c>
      <c r="O52" s="42">
        <f t="shared" si="31"/>
        <v>37440</v>
      </c>
      <c r="P52" s="42">
        <f t="shared" si="31"/>
        <v>49200</v>
      </c>
      <c r="Q52" s="42">
        <f t="shared" si="31"/>
        <v>67608</v>
      </c>
      <c r="S52" s="45" t="s">
        <v>25</v>
      </c>
      <c r="T52" s="42">
        <f t="shared" si="32"/>
        <v>33800</v>
      </c>
      <c r="U52" s="42">
        <f t="shared" si="32"/>
        <v>40560</v>
      </c>
      <c r="V52" s="42">
        <f t="shared" si="32"/>
        <v>53300.000000000007</v>
      </c>
      <c r="W52" s="42">
        <f t="shared" si="32"/>
        <v>73242.000000000015</v>
      </c>
      <c r="Y52" s="45" t="s">
        <v>25</v>
      </c>
      <c r="Z52" s="42">
        <f t="shared" si="33"/>
        <v>36400</v>
      </c>
      <c r="AA52" s="42">
        <f t="shared" si="33"/>
        <v>43679.999999999993</v>
      </c>
      <c r="AB52" s="42">
        <f t="shared" si="33"/>
        <v>57400</v>
      </c>
      <c r="AC52" s="42">
        <f t="shared" si="33"/>
        <v>78876</v>
      </c>
      <c r="AE52" s="45" t="s">
        <v>25</v>
      </c>
      <c r="AF52" s="42">
        <f t="shared" si="34"/>
        <v>41600</v>
      </c>
      <c r="AG52" s="42">
        <f t="shared" si="34"/>
        <v>49920.000000000007</v>
      </c>
      <c r="AH52" s="42">
        <f t="shared" si="34"/>
        <v>65600.000000000015</v>
      </c>
      <c r="AI52" s="42">
        <f t="shared" si="34"/>
        <v>90144.000000000015</v>
      </c>
      <c r="AK52" s="45" t="s">
        <v>25</v>
      </c>
      <c r="AL52" s="42">
        <f t="shared" si="35"/>
        <v>52000</v>
      </c>
      <c r="AM52" s="42">
        <f t="shared" si="35"/>
        <v>62399.999999999993</v>
      </c>
      <c r="AN52" s="42">
        <f t="shared" si="35"/>
        <v>82000</v>
      </c>
      <c r="AO52" s="42">
        <f t="shared" si="35"/>
        <v>112680</v>
      </c>
    </row>
    <row r="53" spans="1:41" x14ac:dyDescent="0.2">
      <c r="A53" s="45" t="s">
        <v>30</v>
      </c>
      <c r="B53" s="42">
        <f t="shared" si="29"/>
        <v>24272</v>
      </c>
      <c r="C53" s="42">
        <f t="shared" si="29"/>
        <v>28768.000000000004</v>
      </c>
      <c r="D53" s="42">
        <f t="shared" si="29"/>
        <v>41424.000000000007</v>
      </c>
      <c r="E53" s="42">
        <f t="shared" si="29"/>
        <v>0</v>
      </c>
      <c r="G53" s="45" t="s">
        <v>30</v>
      </c>
      <c r="H53" s="42">
        <f t="shared" si="30"/>
        <v>30340.000000000004</v>
      </c>
      <c r="I53" s="42">
        <f t="shared" si="30"/>
        <v>35960</v>
      </c>
      <c r="J53" s="42">
        <f t="shared" si="30"/>
        <v>51780.000000000007</v>
      </c>
      <c r="K53" s="42">
        <f t="shared" si="30"/>
        <v>0</v>
      </c>
      <c r="M53" s="45" t="s">
        <v>30</v>
      </c>
      <c r="N53" s="42">
        <f t="shared" si="31"/>
        <v>36408</v>
      </c>
      <c r="O53" s="42">
        <f t="shared" si="31"/>
        <v>43152</v>
      </c>
      <c r="P53" s="42">
        <f t="shared" si="31"/>
        <v>62136.000000000007</v>
      </c>
      <c r="Q53" s="42">
        <f t="shared" si="31"/>
        <v>0</v>
      </c>
      <c r="S53" s="45" t="s">
        <v>30</v>
      </c>
      <c r="T53" s="42">
        <f t="shared" si="32"/>
        <v>39442</v>
      </c>
      <c r="U53" s="42">
        <f t="shared" si="32"/>
        <v>46748.000000000007</v>
      </c>
      <c r="V53" s="42">
        <f t="shared" si="32"/>
        <v>67314.000000000015</v>
      </c>
      <c r="W53" s="42">
        <f t="shared" si="32"/>
        <v>0</v>
      </c>
      <c r="Y53" s="45" t="s">
        <v>30</v>
      </c>
      <c r="Z53" s="42">
        <f t="shared" si="33"/>
        <v>42475.999999999993</v>
      </c>
      <c r="AA53" s="42">
        <f t="shared" si="33"/>
        <v>50344</v>
      </c>
      <c r="AB53" s="42">
        <f t="shared" si="33"/>
        <v>72492</v>
      </c>
      <c r="AC53" s="42">
        <f t="shared" si="33"/>
        <v>0</v>
      </c>
      <c r="AE53" s="45" t="s">
        <v>30</v>
      </c>
      <c r="AF53" s="42">
        <f t="shared" si="34"/>
        <v>48544</v>
      </c>
      <c r="AG53" s="42">
        <f t="shared" si="34"/>
        <v>57536.000000000007</v>
      </c>
      <c r="AH53" s="42">
        <f t="shared" si="34"/>
        <v>82848.000000000015</v>
      </c>
      <c r="AI53" s="42">
        <f t="shared" si="34"/>
        <v>0</v>
      </c>
      <c r="AK53" s="45" t="s">
        <v>30</v>
      </c>
      <c r="AL53" s="42">
        <f t="shared" si="35"/>
        <v>60680.000000000007</v>
      </c>
      <c r="AM53" s="42">
        <f t="shared" si="35"/>
        <v>71920</v>
      </c>
      <c r="AN53" s="42">
        <f t="shared" si="35"/>
        <v>103560.00000000001</v>
      </c>
      <c r="AO53" s="42">
        <f t="shared" si="35"/>
        <v>0</v>
      </c>
    </row>
    <row r="54" spans="1:41" x14ac:dyDescent="0.2">
      <c r="A54" s="45" t="s">
        <v>29</v>
      </c>
      <c r="B54" s="42">
        <f t="shared" si="29"/>
        <v>17824</v>
      </c>
      <c r="C54" s="42">
        <f t="shared" si="29"/>
        <v>24000</v>
      </c>
      <c r="D54" s="42">
        <f t="shared" si="29"/>
        <v>29600.000000000004</v>
      </c>
      <c r="E54" s="42">
        <f t="shared" si="29"/>
        <v>47584.000000000007</v>
      </c>
      <c r="G54" s="45" t="s">
        <v>29</v>
      </c>
      <c r="H54" s="42">
        <f t="shared" si="30"/>
        <v>22279.999999999996</v>
      </c>
      <c r="I54" s="42">
        <f t="shared" si="30"/>
        <v>30000</v>
      </c>
      <c r="J54" s="42">
        <f t="shared" si="30"/>
        <v>37000</v>
      </c>
      <c r="K54" s="42">
        <f t="shared" si="30"/>
        <v>59480.000000000007</v>
      </c>
      <c r="M54" s="45" t="s">
        <v>29</v>
      </c>
      <c r="N54" s="42">
        <f t="shared" si="31"/>
        <v>26735.999999999996</v>
      </c>
      <c r="O54" s="42">
        <f t="shared" si="31"/>
        <v>36000</v>
      </c>
      <c r="P54" s="42">
        <f t="shared" si="31"/>
        <v>44400</v>
      </c>
      <c r="Q54" s="42">
        <f t="shared" si="31"/>
        <v>71376</v>
      </c>
      <c r="S54" s="45" t="s">
        <v>29</v>
      </c>
      <c r="T54" s="42">
        <f t="shared" si="32"/>
        <v>28964</v>
      </c>
      <c r="U54" s="42">
        <f t="shared" si="32"/>
        <v>39000.000000000007</v>
      </c>
      <c r="V54" s="42">
        <f t="shared" si="32"/>
        <v>48100.000000000007</v>
      </c>
      <c r="W54" s="42">
        <f t="shared" si="32"/>
        <v>77324.000000000015</v>
      </c>
      <c r="Y54" s="45" t="s">
        <v>29</v>
      </c>
      <c r="Z54" s="42">
        <f t="shared" si="33"/>
        <v>31191.999999999996</v>
      </c>
      <c r="AA54" s="42">
        <f t="shared" si="33"/>
        <v>42000</v>
      </c>
      <c r="AB54" s="42">
        <f t="shared" si="33"/>
        <v>51800</v>
      </c>
      <c r="AC54" s="42">
        <f t="shared" si="33"/>
        <v>83272</v>
      </c>
      <c r="AE54" s="45" t="s">
        <v>29</v>
      </c>
      <c r="AF54" s="42">
        <f t="shared" si="34"/>
        <v>35648</v>
      </c>
      <c r="AG54" s="42">
        <f t="shared" si="34"/>
        <v>48000</v>
      </c>
      <c r="AH54" s="42">
        <f t="shared" si="34"/>
        <v>59200.000000000007</v>
      </c>
      <c r="AI54" s="42">
        <f t="shared" si="34"/>
        <v>95168.000000000015</v>
      </c>
      <c r="AK54" s="45" t="s">
        <v>29</v>
      </c>
      <c r="AL54" s="42">
        <f t="shared" si="35"/>
        <v>44559.999999999993</v>
      </c>
      <c r="AM54" s="42">
        <f t="shared" si="35"/>
        <v>60000</v>
      </c>
      <c r="AN54" s="42">
        <f t="shared" si="35"/>
        <v>74000</v>
      </c>
      <c r="AO54" s="42">
        <f t="shared" si="35"/>
        <v>118960.00000000001</v>
      </c>
    </row>
    <row r="55" spans="1:41" x14ac:dyDescent="0.2">
      <c r="A55" s="45" t="s">
        <v>28</v>
      </c>
      <c r="B55" s="42">
        <f t="shared" si="29"/>
        <v>23744</v>
      </c>
      <c r="C55" s="42">
        <f t="shared" si="29"/>
        <v>29120.000000000004</v>
      </c>
      <c r="D55" s="42">
        <f t="shared" si="29"/>
        <v>39936</v>
      </c>
      <c r="E55" s="42">
        <f t="shared" si="29"/>
        <v>57376.000000000007</v>
      </c>
      <c r="G55" s="45" t="s">
        <v>28</v>
      </c>
      <c r="H55" s="42">
        <f t="shared" si="30"/>
        <v>29680</v>
      </c>
      <c r="I55" s="42">
        <f t="shared" si="30"/>
        <v>36400</v>
      </c>
      <c r="J55" s="42">
        <f t="shared" si="30"/>
        <v>49920.000000000007</v>
      </c>
      <c r="K55" s="42">
        <f t="shared" si="30"/>
        <v>71720.000000000015</v>
      </c>
      <c r="M55" s="45" t="s">
        <v>28</v>
      </c>
      <c r="N55" s="42">
        <f t="shared" si="31"/>
        <v>35616</v>
      </c>
      <c r="O55" s="42">
        <f t="shared" si="31"/>
        <v>43680</v>
      </c>
      <c r="P55" s="42">
        <f t="shared" si="31"/>
        <v>59904</v>
      </c>
      <c r="Q55" s="42">
        <f t="shared" si="31"/>
        <v>86064</v>
      </c>
      <c r="S55" s="45" t="s">
        <v>28</v>
      </c>
      <c r="T55" s="42">
        <f t="shared" si="32"/>
        <v>38584</v>
      </c>
      <c r="U55" s="42">
        <f t="shared" si="32"/>
        <v>47320</v>
      </c>
      <c r="V55" s="42">
        <f t="shared" si="32"/>
        <v>64896</v>
      </c>
      <c r="W55" s="42">
        <f t="shared" si="32"/>
        <v>93236.000000000015</v>
      </c>
      <c r="Y55" s="45" t="s">
        <v>28</v>
      </c>
      <c r="Z55" s="42">
        <f t="shared" si="33"/>
        <v>41552</v>
      </c>
      <c r="AA55" s="42">
        <f t="shared" si="33"/>
        <v>50959.999999999993</v>
      </c>
      <c r="AB55" s="42">
        <f t="shared" si="33"/>
        <v>69888</v>
      </c>
      <c r="AC55" s="42">
        <f t="shared" si="33"/>
        <v>100408.00000000001</v>
      </c>
      <c r="AE55" s="45" t="s">
        <v>28</v>
      </c>
      <c r="AF55" s="42">
        <f t="shared" si="34"/>
        <v>47488</v>
      </c>
      <c r="AG55" s="42">
        <f t="shared" si="34"/>
        <v>58240.000000000007</v>
      </c>
      <c r="AH55" s="42">
        <f t="shared" si="34"/>
        <v>79872</v>
      </c>
      <c r="AI55" s="42">
        <f t="shared" si="34"/>
        <v>114752.00000000001</v>
      </c>
      <c r="AK55" s="45" t="s">
        <v>28</v>
      </c>
      <c r="AL55" s="42">
        <f t="shared" si="35"/>
        <v>59360</v>
      </c>
      <c r="AM55" s="42">
        <f t="shared" si="35"/>
        <v>72800</v>
      </c>
      <c r="AN55" s="42">
        <f t="shared" si="35"/>
        <v>99840.000000000015</v>
      </c>
      <c r="AO55" s="42">
        <f t="shared" si="35"/>
        <v>143440.00000000003</v>
      </c>
    </row>
    <row r="56" spans="1:41" x14ac:dyDescent="0.2">
      <c r="A56" s="45" t="s">
        <v>27</v>
      </c>
      <c r="B56" s="42">
        <f t="shared" si="29"/>
        <v>20800</v>
      </c>
      <c r="C56" s="42">
        <f t="shared" si="29"/>
        <v>25648</v>
      </c>
      <c r="D56" s="42">
        <f t="shared" si="29"/>
        <v>31888</v>
      </c>
      <c r="E56" s="42">
        <f t="shared" si="29"/>
        <v>45424</v>
      </c>
      <c r="G56" s="45" t="s">
        <v>27</v>
      </c>
      <c r="H56" s="42">
        <f t="shared" si="30"/>
        <v>26000</v>
      </c>
      <c r="I56" s="42">
        <f t="shared" si="30"/>
        <v>32060</v>
      </c>
      <c r="J56" s="42">
        <f t="shared" si="30"/>
        <v>39860</v>
      </c>
      <c r="K56" s="42">
        <f t="shared" si="30"/>
        <v>56779.999999999993</v>
      </c>
      <c r="M56" s="45" t="s">
        <v>27</v>
      </c>
      <c r="N56" s="42">
        <f t="shared" si="31"/>
        <v>31199.999999999996</v>
      </c>
      <c r="O56" s="42">
        <f t="shared" si="31"/>
        <v>38472</v>
      </c>
      <c r="P56" s="42">
        <f t="shared" si="31"/>
        <v>47831.999999999993</v>
      </c>
      <c r="Q56" s="42">
        <f t="shared" si="31"/>
        <v>68136</v>
      </c>
      <c r="S56" s="45" t="s">
        <v>27</v>
      </c>
      <c r="T56" s="42">
        <f t="shared" si="32"/>
        <v>33800</v>
      </c>
      <c r="U56" s="42">
        <f t="shared" si="32"/>
        <v>41678</v>
      </c>
      <c r="V56" s="42">
        <f t="shared" si="32"/>
        <v>51818.000000000007</v>
      </c>
      <c r="W56" s="42">
        <f t="shared" si="32"/>
        <v>73814</v>
      </c>
      <c r="Y56" s="45" t="s">
        <v>27</v>
      </c>
      <c r="Z56" s="42">
        <f t="shared" si="33"/>
        <v>36400</v>
      </c>
      <c r="AA56" s="42">
        <f t="shared" si="33"/>
        <v>44884</v>
      </c>
      <c r="AB56" s="42">
        <f t="shared" si="33"/>
        <v>55803.999999999993</v>
      </c>
      <c r="AC56" s="42">
        <f t="shared" si="33"/>
        <v>79492</v>
      </c>
      <c r="AE56" s="45" t="s">
        <v>27</v>
      </c>
      <c r="AF56" s="42">
        <f t="shared" si="34"/>
        <v>41600</v>
      </c>
      <c r="AG56" s="42">
        <f t="shared" si="34"/>
        <v>51296</v>
      </c>
      <c r="AH56" s="42">
        <f t="shared" si="34"/>
        <v>63776</v>
      </c>
      <c r="AI56" s="42">
        <f t="shared" si="34"/>
        <v>90848</v>
      </c>
      <c r="AK56" s="45" t="s">
        <v>27</v>
      </c>
      <c r="AL56" s="42">
        <f t="shared" si="35"/>
        <v>52000</v>
      </c>
      <c r="AM56" s="42">
        <f t="shared" si="35"/>
        <v>64120</v>
      </c>
      <c r="AN56" s="42">
        <f t="shared" si="35"/>
        <v>79720</v>
      </c>
      <c r="AO56" s="42">
        <f t="shared" si="35"/>
        <v>113559.99999999999</v>
      </c>
    </row>
    <row r="57" spans="1:41" x14ac:dyDescent="0.2">
      <c r="A57" s="45" t="s">
        <v>33</v>
      </c>
      <c r="B57" s="42">
        <f t="shared" si="29"/>
        <v>19776.000000000004</v>
      </c>
      <c r="C57" s="42">
        <f t="shared" si="29"/>
        <v>22400</v>
      </c>
      <c r="D57" s="42">
        <f t="shared" si="29"/>
        <v>29200.000000000004</v>
      </c>
      <c r="E57" s="42">
        <f t="shared" si="29"/>
        <v>44000</v>
      </c>
      <c r="G57" s="45" t="s">
        <v>33</v>
      </c>
      <c r="H57" s="42">
        <f t="shared" si="30"/>
        <v>24720.000000000004</v>
      </c>
      <c r="I57" s="42">
        <f t="shared" si="30"/>
        <v>28000</v>
      </c>
      <c r="J57" s="42">
        <f t="shared" si="30"/>
        <v>36500</v>
      </c>
      <c r="K57" s="42">
        <f t="shared" si="30"/>
        <v>55000</v>
      </c>
      <c r="M57" s="45" t="s">
        <v>33</v>
      </c>
      <c r="N57" s="42">
        <f t="shared" si="31"/>
        <v>29664.000000000004</v>
      </c>
      <c r="O57" s="42">
        <f t="shared" si="31"/>
        <v>33600</v>
      </c>
      <c r="P57" s="42">
        <f t="shared" si="31"/>
        <v>43800</v>
      </c>
      <c r="Q57" s="42">
        <f t="shared" si="31"/>
        <v>66000</v>
      </c>
      <c r="S57" s="45" t="s">
        <v>33</v>
      </c>
      <c r="T57" s="42">
        <f t="shared" si="32"/>
        <v>32136.000000000007</v>
      </c>
      <c r="U57" s="42">
        <f t="shared" si="32"/>
        <v>36400</v>
      </c>
      <c r="V57" s="42">
        <f t="shared" si="32"/>
        <v>47450</v>
      </c>
      <c r="W57" s="42">
        <f t="shared" si="32"/>
        <v>71500</v>
      </c>
      <c r="Y57" s="45" t="s">
        <v>33</v>
      </c>
      <c r="Z57" s="42">
        <f t="shared" si="33"/>
        <v>34608</v>
      </c>
      <c r="AA57" s="42">
        <f t="shared" si="33"/>
        <v>39200</v>
      </c>
      <c r="AB57" s="42">
        <f t="shared" si="33"/>
        <v>51100</v>
      </c>
      <c r="AC57" s="42">
        <f t="shared" si="33"/>
        <v>77000</v>
      </c>
      <c r="AE57" s="45" t="s">
        <v>33</v>
      </c>
      <c r="AF57" s="42">
        <f t="shared" si="34"/>
        <v>39552.000000000007</v>
      </c>
      <c r="AG57" s="42">
        <f t="shared" si="34"/>
        <v>44800</v>
      </c>
      <c r="AH57" s="42">
        <f t="shared" si="34"/>
        <v>58400.000000000007</v>
      </c>
      <c r="AI57" s="42">
        <f t="shared" si="34"/>
        <v>88000</v>
      </c>
      <c r="AK57" s="45" t="s">
        <v>33</v>
      </c>
      <c r="AL57" s="42">
        <f t="shared" si="35"/>
        <v>49440.000000000007</v>
      </c>
      <c r="AM57" s="42">
        <f t="shared" si="35"/>
        <v>56000</v>
      </c>
      <c r="AN57" s="42">
        <f t="shared" si="35"/>
        <v>73000</v>
      </c>
      <c r="AO57" s="42">
        <f t="shared" si="35"/>
        <v>110000</v>
      </c>
    </row>
    <row r="58" spans="1:41" x14ac:dyDescent="0.2">
      <c r="A58" s="45" t="s">
        <v>32</v>
      </c>
      <c r="B58" s="42">
        <f t="shared" si="29"/>
        <v>19344.000000000004</v>
      </c>
      <c r="C58" s="42">
        <f t="shared" si="29"/>
        <v>23920.000000000007</v>
      </c>
      <c r="D58" s="42">
        <f t="shared" si="29"/>
        <v>33584.000000000007</v>
      </c>
      <c r="E58" s="42">
        <f t="shared" si="29"/>
        <v>47984.000000000007</v>
      </c>
      <c r="G58" s="45" t="s">
        <v>32</v>
      </c>
      <c r="H58" s="42">
        <f t="shared" ref="H58:K59" si="36">(1/$G$49)*H32*52.177</f>
        <v>24180</v>
      </c>
      <c r="I58" s="42">
        <f t="shared" si="36"/>
        <v>29900.000000000004</v>
      </c>
      <c r="J58" s="42">
        <f t="shared" si="36"/>
        <v>41980.000000000007</v>
      </c>
      <c r="K58" s="42">
        <f t="shared" si="36"/>
        <v>59980</v>
      </c>
      <c r="M58" s="45" t="s">
        <v>32</v>
      </c>
      <c r="N58" s="42">
        <f t="shared" si="31"/>
        <v>29016</v>
      </c>
      <c r="O58" s="42">
        <f t="shared" si="31"/>
        <v>35880</v>
      </c>
      <c r="P58" s="42">
        <f t="shared" si="31"/>
        <v>50376.000000000007</v>
      </c>
      <c r="Q58" s="42">
        <f t="shared" si="31"/>
        <v>71976</v>
      </c>
      <c r="S58" s="45" t="s">
        <v>32</v>
      </c>
      <c r="T58" s="42">
        <f t="shared" si="32"/>
        <v>31434.000000000004</v>
      </c>
      <c r="U58" s="42">
        <f t="shared" si="32"/>
        <v>38870</v>
      </c>
      <c r="V58" s="42">
        <f t="shared" si="32"/>
        <v>54574.000000000007</v>
      </c>
      <c r="W58" s="42">
        <f t="shared" si="32"/>
        <v>77974</v>
      </c>
      <c r="Y58" s="45" t="s">
        <v>32</v>
      </c>
      <c r="Z58" s="42">
        <f t="shared" si="33"/>
        <v>33851.999999999993</v>
      </c>
      <c r="AA58" s="42">
        <f t="shared" si="33"/>
        <v>41860</v>
      </c>
      <c r="AB58" s="42">
        <f t="shared" si="33"/>
        <v>58772</v>
      </c>
      <c r="AC58" s="42">
        <f t="shared" si="33"/>
        <v>83971.999999999985</v>
      </c>
      <c r="AE58" s="45" t="s">
        <v>32</v>
      </c>
      <c r="AF58" s="42">
        <f t="shared" si="34"/>
        <v>38688.000000000007</v>
      </c>
      <c r="AG58" s="42">
        <f t="shared" si="34"/>
        <v>47840.000000000015</v>
      </c>
      <c r="AH58" s="42">
        <f t="shared" si="34"/>
        <v>67168.000000000015</v>
      </c>
      <c r="AI58" s="42">
        <f t="shared" si="34"/>
        <v>95968.000000000015</v>
      </c>
      <c r="AK58" s="45" t="s">
        <v>32</v>
      </c>
      <c r="AL58" s="42">
        <f t="shared" si="35"/>
        <v>48360</v>
      </c>
      <c r="AM58" s="42">
        <f t="shared" si="35"/>
        <v>59800.000000000007</v>
      </c>
      <c r="AN58" s="42">
        <f t="shared" si="35"/>
        <v>83960.000000000015</v>
      </c>
      <c r="AO58" s="42">
        <f t="shared" si="35"/>
        <v>119960</v>
      </c>
    </row>
    <row r="59" spans="1:41" x14ac:dyDescent="0.2">
      <c r="A59" s="45" t="s">
        <v>31</v>
      </c>
      <c r="B59" s="42">
        <f t="shared" si="29"/>
        <v>19408.000000000004</v>
      </c>
      <c r="C59" s="42">
        <f t="shared" si="29"/>
        <v>23984.000000000004</v>
      </c>
      <c r="D59" s="42">
        <f t="shared" si="29"/>
        <v>36224</v>
      </c>
      <c r="E59" s="42">
        <f t="shared" si="29"/>
        <v>59200.000000000007</v>
      </c>
      <c r="G59" s="45" t="s">
        <v>31</v>
      </c>
      <c r="H59" s="42">
        <f t="shared" si="36"/>
        <v>24260.000000000004</v>
      </c>
      <c r="I59" s="42">
        <f t="shared" si="36"/>
        <v>29979.999999999996</v>
      </c>
      <c r="J59" s="42">
        <f t="shared" si="36"/>
        <v>45280</v>
      </c>
      <c r="K59" s="42">
        <f t="shared" si="36"/>
        <v>74000</v>
      </c>
      <c r="M59" s="45" t="s">
        <v>31</v>
      </c>
      <c r="N59" s="42">
        <f t="shared" si="31"/>
        <v>29112.000000000004</v>
      </c>
      <c r="O59" s="42">
        <f t="shared" si="31"/>
        <v>35976</v>
      </c>
      <c r="P59" s="42">
        <f t="shared" si="31"/>
        <v>54335.999999999993</v>
      </c>
      <c r="Q59" s="42">
        <f t="shared" si="31"/>
        <v>88800</v>
      </c>
      <c r="S59" s="45" t="s">
        <v>31</v>
      </c>
      <c r="T59" s="42">
        <f t="shared" si="32"/>
        <v>31538.000000000007</v>
      </c>
      <c r="U59" s="42">
        <f t="shared" si="32"/>
        <v>38974</v>
      </c>
      <c r="V59" s="42">
        <f t="shared" si="32"/>
        <v>58864.000000000007</v>
      </c>
      <c r="W59" s="42">
        <f t="shared" si="32"/>
        <v>96200.000000000015</v>
      </c>
      <c r="Y59" s="45" t="s">
        <v>31</v>
      </c>
      <c r="Z59" s="42">
        <f t="shared" si="33"/>
        <v>33964.000000000007</v>
      </c>
      <c r="AA59" s="42">
        <f t="shared" si="33"/>
        <v>41972</v>
      </c>
      <c r="AB59" s="42">
        <f t="shared" si="33"/>
        <v>63392</v>
      </c>
      <c r="AC59" s="42">
        <f t="shared" si="33"/>
        <v>103600</v>
      </c>
      <c r="AE59" s="45" t="s">
        <v>31</v>
      </c>
      <c r="AF59" s="42">
        <f t="shared" si="34"/>
        <v>38816.000000000007</v>
      </c>
      <c r="AG59" s="42">
        <f t="shared" si="34"/>
        <v>47968.000000000007</v>
      </c>
      <c r="AH59" s="42">
        <f t="shared" si="34"/>
        <v>72448</v>
      </c>
      <c r="AI59" s="42">
        <f t="shared" si="34"/>
        <v>118400.00000000001</v>
      </c>
      <c r="AK59" s="45" t="s">
        <v>31</v>
      </c>
      <c r="AL59" s="42">
        <f t="shared" si="35"/>
        <v>48520.000000000007</v>
      </c>
      <c r="AM59" s="42">
        <f t="shared" si="35"/>
        <v>59959.999999999993</v>
      </c>
      <c r="AN59" s="42">
        <f t="shared" si="35"/>
        <v>90560</v>
      </c>
      <c r="AO59" s="42">
        <f t="shared" si="35"/>
        <v>148000</v>
      </c>
    </row>
  </sheetData>
  <mergeCells count="8">
    <mergeCell ref="A20:E20"/>
    <mergeCell ref="A2:K2"/>
    <mergeCell ref="G20:K20"/>
    <mergeCell ref="AK20:AO20"/>
    <mergeCell ref="AE20:AI20"/>
    <mergeCell ref="Y20:AC20"/>
    <mergeCell ref="M20:Q20"/>
    <mergeCell ref="S20:W20"/>
  </mergeCells>
  <phoneticPr fontId="0" type="noConversion"/>
  <conditionalFormatting sqref="N24:Q33 H24:K33 T24:W33 Z24:AC33 AF24:AI33 AL24:AO33">
    <cfRule type="cellIs" dxfId="41" priority="1" stopIfTrue="1" operator="greaterThan">
      <formula>B$5</formula>
    </cfRule>
  </conditionalFormatting>
  <conditionalFormatting sqref="B24:E33">
    <cfRule type="cellIs" dxfId="40" priority="2" stopIfTrue="1" operator="greaterThan">
      <formula>B$5</formula>
    </cfRule>
  </conditionalFormatting>
  <hyperlinks>
    <hyperlink ref="A6" r:id="rId1"/>
  </hyperlinks>
  <pageMargins left="0.75" right="0.75" top="1" bottom="1" header="0.5" footer="0.5"/>
  <pageSetup paperSize="8" scale="57"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X56"/>
  <sheetViews>
    <sheetView view="pageBreakPreview" topLeftCell="A25" zoomScaleNormal="100" workbookViewId="0">
      <pane xSplit="2" topLeftCell="C1" activePane="topRight" state="frozen"/>
      <selection pane="topRight" activeCell="T53" sqref="A35:T53"/>
    </sheetView>
  </sheetViews>
  <sheetFormatPr defaultRowHeight="12.75" x14ac:dyDescent="0.2"/>
  <cols>
    <col min="1" max="1" width="25.28515625" customWidth="1"/>
    <col min="2" max="2" width="8.28515625" customWidth="1"/>
    <col min="3" max="3" width="10.42578125" customWidth="1"/>
    <col min="4" max="4" width="10.85546875" bestFit="1" customWidth="1"/>
    <col min="6" max="6" width="10.42578125" customWidth="1"/>
    <col min="7" max="7" width="11.42578125" customWidth="1"/>
    <col min="8" max="8" width="9.42578125" customWidth="1"/>
    <col min="9" max="9" width="10.42578125" customWidth="1"/>
    <col min="10" max="10" width="10" customWidth="1"/>
    <col min="11" max="11" width="11.5703125" customWidth="1"/>
    <col min="12" max="12" width="9.85546875" customWidth="1"/>
    <col min="13" max="13" width="14.5703125" customWidth="1"/>
    <col min="14" max="14" width="13.85546875" customWidth="1"/>
    <col min="15" max="17" width="10" bestFit="1" customWidth="1"/>
    <col min="18" max="18" width="9.85546875" bestFit="1" customWidth="1"/>
    <col min="19" max="19" width="9.7109375" customWidth="1"/>
    <col min="20" max="20" width="14.140625" customWidth="1"/>
  </cols>
  <sheetData>
    <row r="1" spans="1:24" ht="21" thickBot="1" x14ac:dyDescent="0.35">
      <c r="A1" s="202" t="s">
        <v>302</v>
      </c>
      <c r="B1" s="7"/>
      <c r="C1" s="7"/>
      <c r="D1" s="7"/>
      <c r="E1" s="7"/>
      <c r="F1" s="7"/>
      <c r="G1" s="7"/>
      <c r="H1" s="7"/>
      <c r="I1" s="7"/>
      <c r="J1" s="7"/>
      <c r="K1" s="7"/>
      <c r="L1" s="7"/>
      <c r="M1" s="7"/>
      <c r="N1" s="7"/>
      <c r="O1" s="7"/>
      <c r="P1" s="7"/>
      <c r="Q1" s="7"/>
      <c r="R1" s="7"/>
      <c r="S1" s="7"/>
      <c r="T1" s="8"/>
    </row>
    <row r="2" spans="1:24" ht="13.9" customHeight="1" thickBot="1" x14ac:dyDescent="0.25">
      <c r="A2" s="112"/>
      <c r="B2" s="10"/>
      <c r="C2" s="10"/>
      <c r="D2" s="10"/>
      <c r="E2" s="10"/>
      <c r="F2" s="10"/>
      <c r="G2" s="10"/>
      <c r="H2" s="384" t="s">
        <v>308</v>
      </c>
      <c r="I2" s="385"/>
      <c r="J2" s="385"/>
      <c r="K2" s="385"/>
      <c r="L2" s="385"/>
      <c r="M2" s="385"/>
      <c r="N2" s="385"/>
      <c r="O2" s="385"/>
      <c r="P2" s="385"/>
      <c r="Q2" s="385"/>
      <c r="R2" s="385"/>
      <c r="S2" s="386"/>
      <c r="T2" s="80"/>
    </row>
    <row r="3" spans="1:24" ht="13.9" customHeight="1" thickBot="1" x14ac:dyDescent="0.25">
      <c r="A3" s="123" t="s">
        <v>180</v>
      </c>
      <c r="B3" s="124" t="s">
        <v>102</v>
      </c>
      <c r="C3" s="125" t="s">
        <v>204</v>
      </c>
      <c r="D3" s="10"/>
      <c r="E3" s="10"/>
      <c r="F3" s="41" t="s">
        <v>199</v>
      </c>
      <c r="G3" s="107" t="s">
        <v>200</v>
      </c>
      <c r="H3" s="387"/>
      <c r="I3" s="388"/>
      <c r="J3" s="388"/>
      <c r="K3" s="388"/>
      <c r="L3" s="388"/>
      <c r="M3" s="388"/>
      <c r="N3" s="388"/>
      <c r="O3" s="388"/>
      <c r="P3" s="388"/>
      <c r="Q3" s="388"/>
      <c r="R3" s="388"/>
      <c r="S3" s="389"/>
      <c r="T3" s="80"/>
    </row>
    <row r="4" spans="1:24" ht="18" customHeight="1" thickBot="1" x14ac:dyDescent="0.25">
      <c r="A4" s="297" t="s">
        <v>26</v>
      </c>
      <c r="B4" s="128">
        <v>1</v>
      </c>
      <c r="C4" s="129">
        <f>VLOOKUP($A$4,rentstable3,2,FALSE)</f>
        <v>395.34660865898769</v>
      </c>
      <c r="D4" s="10"/>
      <c r="E4" s="10"/>
      <c r="F4" s="196" t="s">
        <v>36</v>
      </c>
      <c r="G4" s="201" t="str">
        <f>'Key formula data'!G8</f>
        <v>Southwark</v>
      </c>
      <c r="H4" s="387"/>
      <c r="I4" s="388"/>
      <c r="J4" s="388"/>
      <c r="K4" s="388"/>
      <c r="L4" s="388"/>
      <c r="M4" s="388"/>
      <c r="N4" s="388"/>
      <c r="O4" s="388"/>
      <c r="P4" s="388"/>
      <c r="Q4" s="388"/>
      <c r="R4" s="388"/>
      <c r="S4" s="389"/>
      <c r="T4" s="80"/>
    </row>
    <row r="5" spans="1:24" ht="13.5" thickBot="1" x14ac:dyDescent="0.25">
      <c r="A5" s="382" t="s">
        <v>181</v>
      </c>
      <c r="B5" s="128">
        <v>2</v>
      </c>
      <c r="C5" s="129">
        <f>VLOOKUP($A$4,rentstable3,3,FALSE)</f>
        <v>518.15934223891759</v>
      </c>
      <c r="D5" s="10"/>
      <c r="E5" s="10"/>
      <c r="F5" s="196" t="s">
        <v>26</v>
      </c>
      <c r="G5" s="201" t="str">
        <f>'Key formula data'!G9</f>
        <v>Bankside</v>
      </c>
      <c r="H5" s="387"/>
      <c r="I5" s="388"/>
      <c r="J5" s="388"/>
      <c r="K5" s="388"/>
      <c r="L5" s="388"/>
      <c r="M5" s="388"/>
      <c r="N5" s="388"/>
      <c r="O5" s="388"/>
      <c r="P5" s="388"/>
      <c r="Q5" s="388"/>
      <c r="R5" s="388"/>
      <c r="S5" s="389"/>
      <c r="T5" s="80"/>
    </row>
    <row r="6" spans="1:24" ht="13.9" customHeight="1" thickBot="1" x14ac:dyDescent="0.25">
      <c r="A6" s="382"/>
      <c r="B6" s="128">
        <v>3</v>
      </c>
      <c r="C6" s="129">
        <f>VLOOKUP($A$4,rentstable3,4,FALSE)</f>
        <v>720.08739482913927</v>
      </c>
      <c r="D6" s="10"/>
      <c r="E6" s="10"/>
      <c r="F6" s="196" t="s">
        <v>25</v>
      </c>
      <c r="G6" s="201" t="str">
        <f>'Key formula data'!G10</f>
        <v>Camberwell</v>
      </c>
      <c r="H6" s="390" t="s">
        <v>303</v>
      </c>
      <c r="I6" s="391"/>
      <c r="J6" s="391"/>
      <c r="K6" s="391"/>
      <c r="L6" s="391"/>
      <c r="M6" s="391"/>
      <c r="N6" s="391"/>
      <c r="O6" s="391"/>
      <c r="P6" s="391"/>
      <c r="Q6" s="391"/>
      <c r="R6" s="391"/>
      <c r="S6" s="392"/>
      <c r="T6" s="80"/>
    </row>
    <row r="7" spans="1:24" ht="13.5" thickBot="1" x14ac:dyDescent="0.25">
      <c r="A7" s="383"/>
      <c r="B7" s="130">
        <v>4</v>
      </c>
      <c r="C7" s="131">
        <f>VLOOKUP($A$4,rentstable3,5,FALSE)</f>
        <v>677.76989861433196</v>
      </c>
      <c r="D7" s="10"/>
      <c r="E7" s="10"/>
      <c r="F7" s="196" t="s">
        <v>30</v>
      </c>
      <c r="G7" s="201" t="str">
        <f>'Key formula data'!G11</f>
        <v>Kennington</v>
      </c>
      <c r="H7" s="390"/>
      <c r="I7" s="391"/>
      <c r="J7" s="391"/>
      <c r="K7" s="391"/>
      <c r="L7" s="391"/>
      <c r="M7" s="391"/>
      <c r="N7" s="391"/>
      <c r="O7" s="391"/>
      <c r="P7" s="391"/>
      <c r="Q7" s="391"/>
      <c r="R7" s="391"/>
      <c r="S7" s="392"/>
      <c r="T7" s="80"/>
    </row>
    <row r="8" spans="1:24" x14ac:dyDescent="0.2">
      <c r="A8" s="112"/>
      <c r="B8" s="10"/>
      <c r="C8" s="10"/>
      <c r="D8" s="10"/>
      <c r="E8" s="10"/>
      <c r="F8" s="196" t="s">
        <v>29</v>
      </c>
      <c r="G8" s="201" t="str">
        <f>'Key formula data'!G12</f>
        <v>Peckham</v>
      </c>
      <c r="H8" s="390"/>
      <c r="I8" s="391"/>
      <c r="J8" s="391"/>
      <c r="K8" s="391"/>
      <c r="L8" s="391"/>
      <c r="M8" s="391"/>
      <c r="N8" s="391"/>
      <c r="O8" s="391"/>
      <c r="P8" s="391"/>
      <c r="Q8" s="391"/>
      <c r="R8" s="391"/>
      <c r="S8" s="392"/>
      <c r="T8" s="80"/>
    </row>
    <row r="9" spans="1:24" x14ac:dyDescent="0.2">
      <c r="A9" s="9" t="str">
        <f>'Key formula data'!A20</f>
        <v>LHA - April 2014</v>
      </c>
      <c r="B9" s="10"/>
      <c r="C9" s="10"/>
      <c r="D9" s="10"/>
      <c r="E9" s="10"/>
      <c r="F9" s="196" t="s">
        <v>28</v>
      </c>
      <c r="G9" s="201" t="str">
        <f>'Key formula data'!G13</f>
        <v>Rotherhithe</v>
      </c>
      <c r="H9" s="390" t="s">
        <v>309</v>
      </c>
      <c r="I9" s="391"/>
      <c r="J9" s="391"/>
      <c r="K9" s="391"/>
      <c r="L9" s="391"/>
      <c r="M9" s="391"/>
      <c r="N9" s="391"/>
      <c r="O9" s="391"/>
      <c r="P9" s="391"/>
      <c r="Q9" s="391"/>
      <c r="R9" s="391"/>
      <c r="S9" s="392"/>
      <c r="T9" s="203" t="s">
        <v>7</v>
      </c>
    </row>
    <row r="10" spans="1:24" x14ac:dyDescent="0.2">
      <c r="A10" s="151" t="s">
        <v>107</v>
      </c>
      <c r="B10" s="10"/>
      <c r="C10" s="10"/>
      <c r="D10" s="10"/>
      <c r="E10" s="10"/>
      <c r="F10" s="196" t="s">
        <v>27</v>
      </c>
      <c r="G10" s="201" t="str">
        <f>'Key formula data'!G14</f>
        <v>Walworth</v>
      </c>
      <c r="H10" s="390"/>
      <c r="I10" s="391"/>
      <c r="J10" s="391"/>
      <c r="K10" s="391"/>
      <c r="L10" s="391"/>
      <c r="M10" s="391"/>
      <c r="N10" s="391"/>
      <c r="O10" s="391"/>
      <c r="P10" s="391"/>
      <c r="Q10" s="391"/>
      <c r="R10" s="391"/>
      <c r="S10" s="392"/>
      <c r="T10" s="204" t="s">
        <v>167</v>
      </c>
    </row>
    <row r="11" spans="1:24" x14ac:dyDescent="0.2">
      <c r="A11" s="152"/>
      <c r="B11" s="66" t="s">
        <v>116</v>
      </c>
      <c r="C11" s="66" t="s">
        <v>117</v>
      </c>
      <c r="D11" s="66" t="s">
        <v>118</v>
      </c>
      <c r="E11" s="66" t="s">
        <v>119</v>
      </c>
      <c r="F11" s="196" t="s">
        <v>33</v>
      </c>
      <c r="G11" s="201" t="str">
        <f>'Key formula data'!G15</f>
        <v>Dulwich</v>
      </c>
      <c r="H11" s="390"/>
      <c r="I11" s="391"/>
      <c r="J11" s="391"/>
      <c r="K11" s="391"/>
      <c r="L11" s="391"/>
      <c r="M11" s="391"/>
      <c r="N11" s="391"/>
      <c r="O11" s="391"/>
      <c r="P11" s="391"/>
      <c r="Q11" s="391"/>
      <c r="R11" s="391"/>
      <c r="S11" s="392"/>
      <c r="T11" s="80"/>
    </row>
    <row r="12" spans="1:24" x14ac:dyDescent="0.2">
      <c r="A12" s="74" t="s">
        <v>105</v>
      </c>
      <c r="B12" s="147">
        <f>'Key formula data'!B22</f>
        <v>196.23</v>
      </c>
      <c r="C12" s="147">
        <f>'Key formula data'!C22</f>
        <v>255.09</v>
      </c>
      <c r="D12" s="147">
        <f>'Key formula data'!D22</f>
        <v>318</v>
      </c>
      <c r="E12" s="147">
        <f>'Key formula data'!E22</f>
        <v>412.89</v>
      </c>
      <c r="F12" s="196" t="s">
        <v>32</v>
      </c>
      <c r="G12" s="201" t="str">
        <f>'Key formula data'!G16</f>
        <v>East Dulwich</v>
      </c>
      <c r="H12" s="390"/>
      <c r="I12" s="391"/>
      <c r="J12" s="391"/>
      <c r="K12" s="391"/>
      <c r="L12" s="391"/>
      <c r="M12" s="391"/>
      <c r="N12" s="391"/>
      <c r="O12" s="391"/>
      <c r="P12" s="391"/>
      <c r="Q12" s="391"/>
      <c r="R12" s="391"/>
      <c r="S12" s="392"/>
      <c r="T12" s="205" t="s">
        <v>169</v>
      </c>
    </row>
    <row r="13" spans="1:24" x14ac:dyDescent="0.2">
      <c r="A13" s="74" t="s">
        <v>106</v>
      </c>
      <c r="B13" s="147">
        <f>'Key formula data'!B23</f>
        <v>853.22439249999991</v>
      </c>
      <c r="C13" s="147">
        <f>'Key formula data'!C23</f>
        <v>1109.1525775</v>
      </c>
      <c r="D13" s="147">
        <f>'Key formula data'!D23</f>
        <v>1382.6904999999999</v>
      </c>
      <c r="E13" s="147">
        <f>'Key formula data'!E23</f>
        <v>1795.2801274999999</v>
      </c>
      <c r="F13" s="196" t="s">
        <v>31</v>
      </c>
      <c r="G13" s="201" t="str">
        <f>'Key formula data'!G17</f>
        <v>Herne Hill</v>
      </c>
      <c r="H13" s="390"/>
      <c r="I13" s="391"/>
      <c r="J13" s="391"/>
      <c r="K13" s="391"/>
      <c r="L13" s="391"/>
      <c r="M13" s="391"/>
      <c r="N13" s="391"/>
      <c r="O13" s="391"/>
      <c r="P13" s="391"/>
      <c r="Q13" s="391"/>
      <c r="R13" s="391"/>
      <c r="S13" s="392"/>
      <c r="T13" s="206" t="s">
        <v>170</v>
      </c>
    </row>
    <row r="14" spans="1:24" ht="22.15" customHeight="1" thickBot="1" x14ac:dyDescent="0.25">
      <c r="A14" s="112"/>
      <c r="B14" s="145"/>
      <c r="C14" s="145"/>
      <c r="D14" s="145"/>
      <c r="E14" s="145"/>
      <c r="F14" s="10"/>
      <c r="G14" s="10"/>
      <c r="H14" s="393"/>
      <c r="I14" s="394"/>
      <c r="J14" s="394"/>
      <c r="K14" s="394"/>
      <c r="L14" s="394"/>
      <c r="M14" s="394"/>
      <c r="N14" s="394"/>
      <c r="O14" s="394"/>
      <c r="P14" s="394"/>
      <c r="Q14" s="394"/>
      <c r="R14" s="394"/>
      <c r="S14" s="395"/>
      <c r="T14" s="207" t="s">
        <v>171</v>
      </c>
    </row>
    <row r="15" spans="1:24" ht="66.75" customHeight="1" x14ac:dyDescent="0.2">
      <c r="A15" s="316" t="str">
        <f>A4</f>
        <v xml:space="preserve">SE1 </v>
      </c>
      <c r="B15" s="375" t="s">
        <v>163</v>
      </c>
      <c r="C15" s="375"/>
      <c r="D15" s="379" t="s">
        <v>8</v>
      </c>
      <c r="E15" s="380"/>
      <c r="F15" s="380"/>
      <c r="G15" s="380"/>
      <c r="H15" s="380"/>
      <c r="I15" s="380"/>
      <c r="J15" s="381"/>
      <c r="K15" s="379" t="s">
        <v>166</v>
      </c>
      <c r="L15" s="396"/>
      <c r="M15" s="397"/>
      <c r="N15" s="376" t="s">
        <v>310</v>
      </c>
      <c r="O15" s="377"/>
      <c r="P15" s="377"/>
      <c r="Q15" s="377"/>
      <c r="R15" s="377"/>
      <c r="S15" s="378"/>
      <c r="T15" s="373" t="s">
        <v>311</v>
      </c>
    </row>
    <row r="16" spans="1:24" ht="90.75" customHeight="1" x14ac:dyDescent="0.2">
      <c r="A16" s="180"/>
      <c r="B16" s="83" t="s">
        <v>164</v>
      </c>
      <c r="C16" s="83" t="s">
        <v>165</v>
      </c>
      <c r="D16" s="276" t="str">
        <f>'Key formula data'!C6</f>
        <v>October 2014</v>
      </c>
      <c r="E16" s="83" t="s">
        <v>162</v>
      </c>
      <c r="F16" s="83" t="s">
        <v>168</v>
      </c>
      <c r="G16" s="83" t="s">
        <v>158</v>
      </c>
      <c r="H16" s="83" t="s">
        <v>159</v>
      </c>
      <c r="I16" s="83" t="s">
        <v>160</v>
      </c>
      <c r="J16" s="83" t="s">
        <v>161</v>
      </c>
      <c r="K16" s="83" t="s">
        <v>312</v>
      </c>
      <c r="L16" s="83" t="s">
        <v>9</v>
      </c>
      <c r="M16" s="83" t="s">
        <v>142</v>
      </c>
      <c r="N16" s="83" t="s">
        <v>271</v>
      </c>
      <c r="O16" s="83" t="s">
        <v>218</v>
      </c>
      <c r="P16" s="83" t="s">
        <v>219</v>
      </c>
      <c r="Q16" s="83" t="s">
        <v>220</v>
      </c>
      <c r="R16" s="83" t="s">
        <v>221</v>
      </c>
      <c r="S16" s="83" t="s">
        <v>222</v>
      </c>
      <c r="T16" s="374"/>
      <c r="V16" s="64"/>
      <c r="W16" s="64"/>
      <c r="X16" s="64"/>
    </row>
    <row r="17" spans="1:24" x14ac:dyDescent="0.2">
      <c r="A17" s="292" t="s">
        <v>292</v>
      </c>
      <c r="B17" s="230">
        <v>0</v>
      </c>
      <c r="C17" s="230">
        <v>1</v>
      </c>
      <c r="D17" s="86">
        <f>$C$4</f>
        <v>395.34660865898769</v>
      </c>
      <c r="E17" s="3">
        <f>'Key formula data'!$B$28</f>
        <v>96.88</v>
      </c>
      <c r="F17" s="87">
        <f>D17*0.4</f>
        <v>158.13864346359509</v>
      </c>
      <c r="G17" s="87">
        <f>D17*0.5</f>
        <v>197.67330432949385</v>
      </c>
      <c r="H17" s="87">
        <f>D17*0.6</f>
        <v>237.2079651953926</v>
      </c>
      <c r="I17" s="87">
        <f>D17*0.7</f>
        <v>276.74262606129139</v>
      </c>
      <c r="J17" s="87">
        <f>D17*0.8</f>
        <v>316.27728692719018</v>
      </c>
      <c r="K17" s="84">
        <v>350</v>
      </c>
      <c r="L17" s="291">
        <f>'Data 3. Benefit cap analysis'!I4</f>
        <v>57.35</v>
      </c>
      <c r="M17" s="84">
        <f>K17-L17</f>
        <v>292.64999999999998</v>
      </c>
      <c r="N17" s="85">
        <f t="shared" ref="N17:N33" si="0">$M17-E17</f>
        <v>195.76999999999998</v>
      </c>
      <c r="O17" s="85">
        <f t="shared" ref="O17:O33" si="1">$M17-F17</f>
        <v>134.51135653640489</v>
      </c>
      <c r="P17" s="85">
        <f t="shared" ref="P17:P33" si="2">$M17-G17</f>
        <v>94.976695670506132</v>
      </c>
      <c r="Q17" s="85">
        <f t="shared" ref="Q17:Q33" si="3">$M17-H17</f>
        <v>55.442034804607374</v>
      </c>
      <c r="R17" s="85">
        <f t="shared" ref="R17:R33" si="4">$M17-I17</f>
        <v>15.907373938708588</v>
      </c>
      <c r="S17" s="85">
        <f t="shared" ref="S17:S33" si="5">$M17-J17</f>
        <v>-23.627286927190198</v>
      </c>
      <c r="T17" s="209">
        <f t="shared" ref="T17:T33" si="6">M17/D17</f>
        <v>0.74023652559627684</v>
      </c>
      <c r="V17" s="64"/>
      <c r="W17" s="334"/>
      <c r="X17" s="64"/>
    </row>
    <row r="18" spans="1:24" x14ac:dyDescent="0.2">
      <c r="A18" s="292" t="s">
        <v>293</v>
      </c>
      <c r="B18" s="230">
        <v>1</v>
      </c>
      <c r="C18" s="230">
        <v>1</v>
      </c>
      <c r="D18" s="86">
        <f>$C$4</f>
        <v>395.34660865898769</v>
      </c>
      <c r="E18" s="3">
        <f>'Key formula data'!$B$28</f>
        <v>96.88</v>
      </c>
      <c r="F18" s="87">
        <f t="shared" ref="F18:F33" si="7">D18*0.4</f>
        <v>158.13864346359509</v>
      </c>
      <c r="G18" s="3">
        <f t="shared" ref="G18:G33" si="8">D18*0.5</f>
        <v>197.67330432949385</v>
      </c>
      <c r="H18" s="3">
        <f t="shared" ref="H18:H33" si="9">D18*0.6</f>
        <v>237.2079651953926</v>
      </c>
      <c r="I18" s="3">
        <f t="shared" ref="I18:I33" si="10">D18*0.7</f>
        <v>276.74262606129139</v>
      </c>
      <c r="J18" s="3">
        <f t="shared" ref="J18:J33" si="11">D18*0.8</f>
        <v>316.27728692719018</v>
      </c>
      <c r="K18" s="84">
        <v>350</v>
      </c>
      <c r="L18" s="291">
        <f>'Data 3. Benefit cap analysis'!I5</f>
        <v>72.400000000000006</v>
      </c>
      <c r="M18" s="84">
        <f>K18-L18</f>
        <v>277.60000000000002</v>
      </c>
      <c r="N18" s="85">
        <f t="shared" si="0"/>
        <v>180.72000000000003</v>
      </c>
      <c r="O18" s="85">
        <f t="shared" si="1"/>
        <v>119.46135653640494</v>
      </c>
      <c r="P18" s="85">
        <f t="shared" si="2"/>
        <v>79.926695670506177</v>
      </c>
      <c r="Q18" s="85">
        <f t="shared" si="3"/>
        <v>40.39203480460742</v>
      </c>
      <c r="R18" s="85">
        <f t="shared" si="4"/>
        <v>0.85737393870863343</v>
      </c>
      <c r="S18" s="85">
        <f t="shared" si="5"/>
        <v>-38.677286927190153</v>
      </c>
      <c r="T18" s="209">
        <f t="shared" si="6"/>
        <v>0.70216866395191002</v>
      </c>
      <c r="V18" s="64"/>
      <c r="W18" s="334"/>
      <c r="X18" s="64"/>
    </row>
    <row r="19" spans="1:24" x14ac:dyDescent="0.2">
      <c r="A19" s="292" t="s">
        <v>143</v>
      </c>
      <c r="B19" s="230">
        <v>1</v>
      </c>
      <c r="C19" s="230">
        <v>2</v>
      </c>
      <c r="D19" s="86">
        <f>$C$4</f>
        <v>395.34660865898769</v>
      </c>
      <c r="E19" s="3">
        <f>'Key formula data'!$B$28</f>
        <v>96.88</v>
      </c>
      <c r="F19" s="87">
        <f t="shared" si="7"/>
        <v>158.13864346359509</v>
      </c>
      <c r="G19" s="3">
        <f t="shared" si="8"/>
        <v>197.67330432949385</v>
      </c>
      <c r="H19" s="3">
        <f t="shared" si="9"/>
        <v>237.2079651953926</v>
      </c>
      <c r="I19" s="3">
        <f t="shared" si="10"/>
        <v>276.74262606129139</v>
      </c>
      <c r="J19" s="3">
        <f t="shared" si="11"/>
        <v>316.27728692719018</v>
      </c>
      <c r="K19" s="84">
        <v>500</v>
      </c>
      <c r="L19" s="291">
        <f>'Data 3. Benefit cap analysis'!I6</f>
        <v>112.55</v>
      </c>
      <c r="M19" s="84">
        <f t="shared" ref="M19:M33" si="12">K19-L19</f>
        <v>387.45</v>
      </c>
      <c r="N19" s="85">
        <f t="shared" si="0"/>
        <v>290.57</v>
      </c>
      <c r="O19" s="85">
        <f t="shared" si="1"/>
        <v>229.3113565364049</v>
      </c>
      <c r="P19" s="85">
        <f t="shared" si="2"/>
        <v>189.77669567050614</v>
      </c>
      <c r="Q19" s="85">
        <f t="shared" si="3"/>
        <v>150.24203480460739</v>
      </c>
      <c r="R19" s="85">
        <f t="shared" si="4"/>
        <v>110.7073739387086</v>
      </c>
      <c r="S19" s="85">
        <f t="shared" si="5"/>
        <v>71.172713072809813</v>
      </c>
      <c r="T19" s="209">
        <f t="shared" si="6"/>
        <v>0.98002611256544492</v>
      </c>
      <c r="V19" s="64"/>
      <c r="W19" s="334"/>
      <c r="X19" s="64"/>
    </row>
    <row r="20" spans="1:24" x14ac:dyDescent="0.2">
      <c r="A20" s="292" t="s">
        <v>144</v>
      </c>
      <c r="B20" s="230">
        <v>2</v>
      </c>
      <c r="C20" s="230">
        <v>3</v>
      </c>
      <c r="D20" s="3">
        <f>$C$5</f>
        <v>518.15934223891759</v>
      </c>
      <c r="E20" s="3">
        <f>'Key formula data'!$C$28</f>
        <v>110.76</v>
      </c>
      <c r="F20" s="87">
        <f t="shared" si="7"/>
        <v>207.26373689556704</v>
      </c>
      <c r="G20" s="3">
        <f t="shared" si="8"/>
        <v>259.07967111945879</v>
      </c>
      <c r="H20" s="3">
        <f t="shared" si="9"/>
        <v>310.89560534335055</v>
      </c>
      <c r="I20" s="3">
        <f t="shared" si="10"/>
        <v>362.71153956724231</v>
      </c>
      <c r="J20" s="3">
        <f t="shared" si="11"/>
        <v>414.52747379113407</v>
      </c>
      <c r="K20" s="84">
        <v>500</v>
      </c>
      <c r="L20" s="291">
        <f>'Data 3. Benefit cap analysis'!I7</f>
        <v>196.4153846153846</v>
      </c>
      <c r="M20" s="84">
        <f t="shared" si="12"/>
        <v>303.5846153846154</v>
      </c>
      <c r="N20" s="85">
        <f t="shared" si="0"/>
        <v>192.82461538461541</v>
      </c>
      <c r="O20" s="85">
        <f t="shared" si="1"/>
        <v>96.320878489048368</v>
      </c>
      <c r="P20" s="85">
        <f t="shared" si="2"/>
        <v>44.50494426515661</v>
      </c>
      <c r="Q20" s="85">
        <f t="shared" si="3"/>
        <v>-7.3109899587351492</v>
      </c>
      <c r="R20" s="85">
        <f t="shared" si="4"/>
        <v>-59.126924182626908</v>
      </c>
      <c r="S20" s="85">
        <f t="shared" si="5"/>
        <v>-110.94285840651867</v>
      </c>
      <c r="T20" s="209">
        <f t="shared" si="6"/>
        <v>0.58589046001342937</v>
      </c>
      <c r="V20" s="64"/>
      <c r="W20" s="334"/>
      <c r="X20" s="64"/>
    </row>
    <row r="21" spans="1:24" x14ac:dyDescent="0.2">
      <c r="A21" s="292" t="s">
        <v>145</v>
      </c>
      <c r="B21" s="230">
        <v>2</v>
      </c>
      <c r="C21" s="230">
        <v>4</v>
      </c>
      <c r="D21" s="3">
        <f>$C$5</f>
        <v>518.15934223891759</v>
      </c>
      <c r="E21" s="3">
        <f>'Key formula data'!$C$28</f>
        <v>110.76</v>
      </c>
      <c r="F21" s="87">
        <f t="shared" si="7"/>
        <v>207.26373689556704</v>
      </c>
      <c r="G21" s="3">
        <f t="shared" si="8"/>
        <v>259.07967111945879</v>
      </c>
      <c r="H21" s="3">
        <f t="shared" si="9"/>
        <v>310.89560534335055</v>
      </c>
      <c r="I21" s="3">
        <f t="shared" si="10"/>
        <v>362.71153956724231</v>
      </c>
      <c r="J21" s="3">
        <f t="shared" si="11"/>
        <v>414.52747379113407</v>
      </c>
      <c r="K21" s="84">
        <v>500</v>
      </c>
      <c r="L21" s="291">
        <f>'Data 3. Benefit cap analysis'!I8</f>
        <v>262.85000000000002</v>
      </c>
      <c r="M21" s="84">
        <f t="shared" si="12"/>
        <v>237.14999999999998</v>
      </c>
      <c r="N21" s="85">
        <f t="shared" si="0"/>
        <v>126.38999999999997</v>
      </c>
      <c r="O21" s="85">
        <f t="shared" si="1"/>
        <v>29.886263104432942</v>
      </c>
      <c r="P21" s="85">
        <f t="shared" si="2"/>
        <v>-21.929671119458817</v>
      </c>
      <c r="Q21" s="85">
        <f t="shared" si="3"/>
        <v>-73.745605343350576</v>
      </c>
      <c r="R21" s="85">
        <f t="shared" si="4"/>
        <v>-125.56153956724233</v>
      </c>
      <c r="S21" s="85">
        <f t="shared" si="5"/>
        <v>-177.37747379113409</v>
      </c>
      <c r="T21" s="209">
        <f t="shared" si="6"/>
        <v>0.45767774633821562</v>
      </c>
      <c r="V21" s="64"/>
      <c r="W21" s="334"/>
      <c r="X21" s="64"/>
    </row>
    <row r="22" spans="1:24" x14ac:dyDescent="0.2">
      <c r="A22" s="74" t="s">
        <v>146</v>
      </c>
      <c r="B22" s="2">
        <v>3</v>
      </c>
      <c r="C22" s="2">
        <v>5</v>
      </c>
      <c r="D22" s="3">
        <f>$C$6</f>
        <v>720.08739482913927</v>
      </c>
      <c r="E22" s="3">
        <f>'Key formula data'!$D$28</f>
        <v>124.18</v>
      </c>
      <c r="F22" s="87">
        <f t="shared" si="7"/>
        <v>288.0349579316557</v>
      </c>
      <c r="G22" s="3">
        <f t="shared" si="8"/>
        <v>360.04369741456964</v>
      </c>
      <c r="H22" s="3">
        <f t="shared" si="9"/>
        <v>432.05243689748357</v>
      </c>
      <c r="I22" s="3">
        <f t="shared" si="10"/>
        <v>504.06117638039746</v>
      </c>
      <c r="J22" s="3">
        <f t="shared" si="11"/>
        <v>576.06991586331139</v>
      </c>
      <c r="K22" s="84">
        <v>500</v>
      </c>
      <c r="L22" s="291">
        <f>'Data 3. Benefit cap analysis'!I9</f>
        <v>329.28461538461534</v>
      </c>
      <c r="M22" s="84">
        <f t="shared" si="12"/>
        <v>170.71538461538466</v>
      </c>
      <c r="N22" s="85">
        <f t="shared" si="0"/>
        <v>46.535384615384658</v>
      </c>
      <c r="O22" s="85">
        <f t="shared" si="1"/>
        <v>-117.31957331627103</v>
      </c>
      <c r="P22" s="85">
        <f t="shared" si="2"/>
        <v>-189.32831279918497</v>
      </c>
      <c r="Q22" s="85">
        <f t="shared" si="3"/>
        <v>-261.33705228209891</v>
      </c>
      <c r="R22" s="85">
        <f t="shared" si="4"/>
        <v>-333.34579176501279</v>
      </c>
      <c r="S22" s="85">
        <f t="shared" si="5"/>
        <v>-405.35453124792673</v>
      </c>
      <c r="T22" s="209">
        <f t="shared" si="6"/>
        <v>0.23707592417430334</v>
      </c>
      <c r="V22" s="64"/>
      <c r="W22" s="334"/>
      <c r="X22" s="64"/>
    </row>
    <row r="23" spans="1:24" x14ac:dyDescent="0.2">
      <c r="A23" s="74" t="s">
        <v>147</v>
      </c>
      <c r="B23" s="2">
        <v>3</v>
      </c>
      <c r="C23" s="2">
        <v>6</v>
      </c>
      <c r="D23" s="3">
        <f>$C$6</f>
        <v>720.08739482913927</v>
      </c>
      <c r="E23" s="3">
        <f>'Key formula data'!$D$28</f>
        <v>124.18</v>
      </c>
      <c r="F23" s="87">
        <f t="shared" si="7"/>
        <v>288.0349579316557</v>
      </c>
      <c r="G23" s="3">
        <f t="shared" si="8"/>
        <v>360.04369741456964</v>
      </c>
      <c r="H23" s="3">
        <f t="shared" si="9"/>
        <v>432.05243689748357</v>
      </c>
      <c r="I23" s="3">
        <f t="shared" si="10"/>
        <v>504.06117638039746</v>
      </c>
      <c r="J23" s="3">
        <f t="shared" si="11"/>
        <v>576.06991586331139</v>
      </c>
      <c r="K23" s="84">
        <v>500</v>
      </c>
      <c r="L23" s="291">
        <f>'Data 3. Benefit cap analysis'!I10</f>
        <v>395.71923076923076</v>
      </c>
      <c r="M23" s="84">
        <f t="shared" si="12"/>
        <v>104.28076923076924</v>
      </c>
      <c r="N23" s="85">
        <f t="shared" si="0"/>
        <v>-19.899230769230769</v>
      </c>
      <c r="O23" s="85">
        <f t="shared" si="1"/>
        <v>-183.75418870088646</v>
      </c>
      <c r="P23" s="85">
        <f t="shared" si="2"/>
        <v>-255.7629281838004</v>
      </c>
      <c r="Q23" s="85">
        <f t="shared" si="3"/>
        <v>-327.77166766671434</v>
      </c>
      <c r="R23" s="85">
        <f t="shared" si="4"/>
        <v>-399.78040714962822</v>
      </c>
      <c r="S23" s="85">
        <f t="shared" si="5"/>
        <v>-471.78914663254216</v>
      </c>
      <c r="T23" s="209">
        <f t="shared" si="6"/>
        <v>0.14481682359613135</v>
      </c>
      <c r="V23" s="64"/>
      <c r="W23" s="334"/>
      <c r="X23" s="64"/>
    </row>
    <row r="24" spans="1:24" x14ac:dyDescent="0.2">
      <c r="A24" s="74" t="s">
        <v>148</v>
      </c>
      <c r="B24" s="2">
        <v>4</v>
      </c>
      <c r="C24" s="2">
        <v>7</v>
      </c>
      <c r="D24" s="3">
        <f>$C$7</f>
        <v>677.76989861433196</v>
      </c>
      <c r="E24" s="3">
        <f>'Key formula data'!$E$28</f>
        <v>139.69</v>
      </c>
      <c r="F24" s="87">
        <f t="shared" si="7"/>
        <v>271.10795944573277</v>
      </c>
      <c r="G24" s="3">
        <f t="shared" si="8"/>
        <v>338.88494930716598</v>
      </c>
      <c r="H24" s="3">
        <f t="shared" si="9"/>
        <v>406.66193916859919</v>
      </c>
      <c r="I24" s="3">
        <f t="shared" si="10"/>
        <v>474.43892903003234</v>
      </c>
      <c r="J24" s="3">
        <f t="shared" si="11"/>
        <v>542.21591889146555</v>
      </c>
      <c r="K24" s="84">
        <v>500</v>
      </c>
      <c r="L24" s="291">
        <f>'Data 3. Benefit cap analysis'!I11</f>
        <v>462.15384615384613</v>
      </c>
      <c r="M24" s="84">
        <f t="shared" si="12"/>
        <v>37.846153846153868</v>
      </c>
      <c r="N24" s="85">
        <f t="shared" si="0"/>
        <v>-101.84384615384613</v>
      </c>
      <c r="O24" s="85">
        <f t="shared" si="1"/>
        <v>-233.26180559957891</v>
      </c>
      <c r="P24" s="85">
        <f t="shared" si="2"/>
        <v>-301.03879546101211</v>
      </c>
      <c r="Q24" s="85">
        <f t="shared" si="3"/>
        <v>-368.81578532244532</v>
      </c>
      <c r="R24" s="85">
        <f t="shared" si="4"/>
        <v>-436.59277518387847</v>
      </c>
      <c r="S24" s="85">
        <f t="shared" si="5"/>
        <v>-504.36976504531168</v>
      </c>
      <c r="T24" s="209">
        <f t="shared" si="6"/>
        <v>5.5839236772728493E-2</v>
      </c>
      <c r="V24" s="64"/>
      <c r="W24" s="334"/>
      <c r="X24" s="64"/>
    </row>
    <row r="25" spans="1:24" x14ac:dyDescent="0.2">
      <c r="A25" s="74" t="s">
        <v>149</v>
      </c>
      <c r="B25" s="2">
        <v>4</v>
      </c>
      <c r="C25" s="2">
        <v>8</v>
      </c>
      <c r="D25" s="3">
        <f>$C$7</f>
        <v>677.76989861433196</v>
      </c>
      <c r="E25" s="3">
        <f>'Key formula data'!$E$28</f>
        <v>139.69</v>
      </c>
      <c r="F25" s="87">
        <f t="shared" si="7"/>
        <v>271.10795944573277</v>
      </c>
      <c r="G25" s="3">
        <f t="shared" si="8"/>
        <v>338.88494930716598</v>
      </c>
      <c r="H25" s="3">
        <f t="shared" si="9"/>
        <v>406.66193916859919</v>
      </c>
      <c r="I25" s="3">
        <f t="shared" si="10"/>
        <v>474.43892903003234</v>
      </c>
      <c r="J25" s="3">
        <f t="shared" si="11"/>
        <v>542.21591889146555</v>
      </c>
      <c r="K25" s="84">
        <v>500</v>
      </c>
      <c r="L25" s="291">
        <f>'Data 3. Benefit cap analysis'!I12</f>
        <v>528.5884615384615</v>
      </c>
      <c r="M25" s="84">
        <f t="shared" si="12"/>
        <v>-28.588461538461502</v>
      </c>
      <c r="N25" s="85">
        <f t="shared" si="0"/>
        <v>-168.2784615384615</v>
      </c>
      <c r="O25" s="85">
        <f t="shared" si="1"/>
        <v>-299.69642098419428</v>
      </c>
      <c r="P25" s="85">
        <f t="shared" si="2"/>
        <v>-367.47341084562748</v>
      </c>
      <c r="Q25" s="85">
        <f t="shared" si="3"/>
        <v>-435.25040070706069</v>
      </c>
      <c r="R25" s="85">
        <f t="shared" si="4"/>
        <v>-503.02739056849384</v>
      </c>
      <c r="S25" s="85">
        <f t="shared" si="5"/>
        <v>-570.80438042992705</v>
      </c>
      <c r="T25" s="209">
        <f t="shared" si="6"/>
        <v>-4.2180187696309969E-2</v>
      </c>
      <c r="V25" s="64"/>
      <c r="W25" s="334"/>
      <c r="X25" s="64"/>
    </row>
    <row r="26" spans="1:24" x14ac:dyDescent="0.2">
      <c r="A26" s="74" t="s">
        <v>150</v>
      </c>
      <c r="B26" s="2">
        <v>2</v>
      </c>
      <c r="C26" s="2">
        <v>3</v>
      </c>
      <c r="D26" s="3">
        <f>$C$5</f>
        <v>518.15934223891759</v>
      </c>
      <c r="E26" s="3">
        <f>'Key formula data'!$C$28</f>
        <v>110.76</v>
      </c>
      <c r="F26" s="87">
        <f t="shared" si="7"/>
        <v>207.26373689556704</v>
      </c>
      <c r="G26" s="3">
        <f t="shared" si="8"/>
        <v>259.07967111945879</v>
      </c>
      <c r="H26" s="3">
        <f t="shared" si="9"/>
        <v>310.89560534335055</v>
      </c>
      <c r="I26" s="3">
        <f t="shared" si="10"/>
        <v>362.71153956724231</v>
      </c>
      <c r="J26" s="3">
        <f t="shared" si="11"/>
        <v>414.52747379113407</v>
      </c>
      <c r="K26" s="84">
        <v>500</v>
      </c>
      <c r="L26" s="291">
        <f>'Data 3. Benefit cap analysis'!I13</f>
        <v>156.26538461538462</v>
      </c>
      <c r="M26" s="84">
        <f t="shared" si="12"/>
        <v>343.73461538461538</v>
      </c>
      <c r="N26" s="85">
        <f t="shared" si="0"/>
        <v>232.97461538461539</v>
      </c>
      <c r="O26" s="85">
        <f t="shared" si="1"/>
        <v>136.47087848904835</v>
      </c>
      <c r="P26" s="85">
        <f t="shared" si="2"/>
        <v>84.654944265156587</v>
      </c>
      <c r="Q26" s="85">
        <f t="shared" si="3"/>
        <v>32.839010041264828</v>
      </c>
      <c r="R26" s="85">
        <f t="shared" si="4"/>
        <v>-18.976924182626931</v>
      </c>
      <c r="S26" s="85">
        <f t="shared" si="5"/>
        <v>-70.79285840651869</v>
      </c>
      <c r="T26" s="209">
        <f t="shared" si="6"/>
        <v>0.66337627707216584</v>
      </c>
      <c r="V26" s="64"/>
      <c r="W26" s="334"/>
      <c r="X26" s="64"/>
    </row>
    <row r="27" spans="1:24" x14ac:dyDescent="0.2">
      <c r="A27" s="74" t="s">
        <v>151</v>
      </c>
      <c r="B27" s="2">
        <v>2</v>
      </c>
      <c r="C27" s="2">
        <v>3</v>
      </c>
      <c r="D27" s="3">
        <f>$C$5</f>
        <v>518.15934223891759</v>
      </c>
      <c r="E27" s="3">
        <f>'Key formula data'!$C$28</f>
        <v>110.76</v>
      </c>
      <c r="F27" s="87">
        <f t="shared" si="7"/>
        <v>207.26373689556704</v>
      </c>
      <c r="G27" s="3">
        <f t="shared" si="8"/>
        <v>259.07967111945879</v>
      </c>
      <c r="H27" s="3">
        <f t="shared" si="9"/>
        <v>310.89560534335055</v>
      </c>
      <c r="I27" s="3">
        <f t="shared" si="10"/>
        <v>362.71153956724231</v>
      </c>
      <c r="J27" s="3">
        <f t="shared" si="11"/>
        <v>414.52747379113407</v>
      </c>
      <c r="K27" s="84">
        <v>500</v>
      </c>
      <c r="L27" s="291">
        <f>'Data 3. Benefit cap analysis'!I14</f>
        <v>222.7</v>
      </c>
      <c r="M27" s="84">
        <f t="shared" si="12"/>
        <v>277.3</v>
      </c>
      <c r="N27" s="85">
        <f t="shared" si="0"/>
        <v>166.54000000000002</v>
      </c>
      <c r="O27" s="85">
        <f t="shared" si="1"/>
        <v>70.036263104432976</v>
      </c>
      <c r="P27" s="85">
        <f t="shared" si="2"/>
        <v>18.220328880541217</v>
      </c>
      <c r="Q27" s="85">
        <f t="shared" si="3"/>
        <v>-33.595605343350542</v>
      </c>
      <c r="R27" s="85">
        <f t="shared" si="4"/>
        <v>-85.411539567242301</v>
      </c>
      <c r="S27" s="85">
        <f t="shared" si="5"/>
        <v>-137.22747379113406</v>
      </c>
      <c r="T27" s="209">
        <f t="shared" si="6"/>
        <v>0.53516356339695215</v>
      </c>
      <c r="V27" s="64"/>
      <c r="W27" s="334"/>
      <c r="X27" s="64"/>
    </row>
    <row r="28" spans="1:24" x14ac:dyDescent="0.2">
      <c r="A28" s="74" t="s">
        <v>152</v>
      </c>
      <c r="B28" s="2">
        <v>3</v>
      </c>
      <c r="C28" s="2">
        <v>4</v>
      </c>
      <c r="D28" s="3">
        <f>$C$6</f>
        <v>720.08739482913927</v>
      </c>
      <c r="E28" s="3">
        <f>'Key formula data'!$D$28</f>
        <v>124.18</v>
      </c>
      <c r="F28" s="87">
        <f t="shared" si="7"/>
        <v>288.0349579316557</v>
      </c>
      <c r="G28" s="3">
        <f t="shared" si="8"/>
        <v>360.04369741456964</v>
      </c>
      <c r="H28" s="3">
        <f t="shared" si="9"/>
        <v>432.05243689748357</v>
      </c>
      <c r="I28" s="3">
        <f t="shared" si="10"/>
        <v>504.06117638039746</v>
      </c>
      <c r="J28" s="3">
        <f t="shared" si="11"/>
        <v>576.06991586331139</v>
      </c>
      <c r="K28" s="84">
        <v>500</v>
      </c>
      <c r="L28" s="291">
        <f>'Data 3. Benefit cap analysis'!I15</f>
        <v>289.13461538461536</v>
      </c>
      <c r="M28" s="84">
        <f t="shared" si="12"/>
        <v>210.86538461538464</v>
      </c>
      <c r="N28" s="85">
        <f t="shared" si="0"/>
        <v>86.685384615384635</v>
      </c>
      <c r="O28" s="85">
        <f t="shared" si="1"/>
        <v>-77.169573316271055</v>
      </c>
      <c r="P28" s="85">
        <f t="shared" si="2"/>
        <v>-149.17831279918499</v>
      </c>
      <c r="Q28" s="85">
        <f t="shared" si="3"/>
        <v>-221.18705228209893</v>
      </c>
      <c r="R28" s="85">
        <f t="shared" si="4"/>
        <v>-293.19579176501281</v>
      </c>
      <c r="S28" s="85">
        <f t="shared" si="5"/>
        <v>-365.20453124792675</v>
      </c>
      <c r="T28" s="209">
        <f t="shared" si="6"/>
        <v>0.29283304516866082</v>
      </c>
      <c r="V28" s="64"/>
      <c r="W28" s="334"/>
      <c r="X28" s="64"/>
    </row>
    <row r="29" spans="1:24" x14ac:dyDescent="0.2">
      <c r="A29" s="74" t="s">
        <v>153</v>
      </c>
      <c r="B29" s="2">
        <v>3</v>
      </c>
      <c r="C29" s="2">
        <v>5</v>
      </c>
      <c r="D29" s="3">
        <f>$C$6</f>
        <v>720.08739482913927</v>
      </c>
      <c r="E29" s="3">
        <f>'Key formula data'!$D$28</f>
        <v>124.18</v>
      </c>
      <c r="F29" s="87">
        <f t="shared" si="7"/>
        <v>288.0349579316557</v>
      </c>
      <c r="G29" s="3">
        <f t="shared" si="8"/>
        <v>360.04369741456964</v>
      </c>
      <c r="H29" s="3">
        <f t="shared" si="9"/>
        <v>432.05243689748357</v>
      </c>
      <c r="I29" s="3">
        <f t="shared" si="10"/>
        <v>504.06117638039746</v>
      </c>
      <c r="J29" s="3">
        <f t="shared" si="11"/>
        <v>576.06991586331139</v>
      </c>
      <c r="K29" s="84">
        <v>500</v>
      </c>
      <c r="L29" s="291">
        <f>'Data 3. Benefit cap analysis'!I16</f>
        <v>355.56923076923078</v>
      </c>
      <c r="M29" s="84">
        <f t="shared" si="12"/>
        <v>144.43076923076922</v>
      </c>
      <c r="N29" s="85">
        <f t="shared" si="0"/>
        <v>20.250769230769208</v>
      </c>
      <c r="O29" s="85">
        <f t="shared" si="1"/>
        <v>-143.60418870088648</v>
      </c>
      <c r="P29" s="85">
        <f t="shared" si="2"/>
        <v>-215.61292818380042</v>
      </c>
      <c r="Q29" s="85">
        <f t="shared" si="3"/>
        <v>-287.62166766671436</v>
      </c>
      <c r="R29" s="85">
        <f t="shared" si="4"/>
        <v>-359.63040714962824</v>
      </c>
      <c r="S29" s="85">
        <f t="shared" si="5"/>
        <v>-431.63914663254218</v>
      </c>
      <c r="T29" s="209">
        <f t="shared" si="6"/>
        <v>0.2005739445904888</v>
      </c>
      <c r="V29" s="64"/>
      <c r="W29" s="334"/>
      <c r="X29" s="64"/>
    </row>
    <row r="30" spans="1:24" x14ac:dyDescent="0.2">
      <c r="A30" s="74" t="s">
        <v>154</v>
      </c>
      <c r="B30" s="2">
        <v>4</v>
      </c>
      <c r="C30" s="2">
        <v>6</v>
      </c>
      <c r="D30" s="3">
        <f>$C$7</f>
        <v>677.76989861433196</v>
      </c>
      <c r="E30" s="3">
        <f>'Key formula data'!$E$28</f>
        <v>139.69</v>
      </c>
      <c r="F30" s="87">
        <f t="shared" si="7"/>
        <v>271.10795944573277</v>
      </c>
      <c r="G30" s="3">
        <f t="shared" si="8"/>
        <v>338.88494930716598</v>
      </c>
      <c r="H30" s="3">
        <f t="shared" si="9"/>
        <v>406.66193916859919</v>
      </c>
      <c r="I30" s="3">
        <f t="shared" si="10"/>
        <v>474.43892903003234</v>
      </c>
      <c r="J30" s="3">
        <f t="shared" si="11"/>
        <v>542.21591889146555</v>
      </c>
      <c r="K30" s="84">
        <v>500</v>
      </c>
      <c r="L30" s="291">
        <f>'Data 3. Benefit cap analysis'!I17</f>
        <v>422.00384615384615</v>
      </c>
      <c r="M30" s="84">
        <f t="shared" si="12"/>
        <v>77.996153846153845</v>
      </c>
      <c r="N30" s="85">
        <f t="shared" si="0"/>
        <v>-61.693846153846152</v>
      </c>
      <c r="O30" s="85">
        <f t="shared" si="1"/>
        <v>-193.11180559957893</v>
      </c>
      <c r="P30" s="85">
        <f t="shared" si="2"/>
        <v>-260.88879546101214</v>
      </c>
      <c r="Q30" s="85">
        <f t="shared" si="3"/>
        <v>-328.66578532244534</v>
      </c>
      <c r="R30" s="85">
        <f t="shared" si="4"/>
        <v>-396.4427751838785</v>
      </c>
      <c r="S30" s="85">
        <f t="shared" si="5"/>
        <v>-464.2197650453117</v>
      </c>
      <c r="T30" s="209">
        <f t="shared" si="6"/>
        <v>0.11507763033680492</v>
      </c>
      <c r="V30" s="64"/>
      <c r="W30" s="334"/>
      <c r="X30" s="64"/>
    </row>
    <row r="31" spans="1:24" x14ac:dyDescent="0.2">
      <c r="A31" s="74" t="s">
        <v>155</v>
      </c>
      <c r="B31" s="2">
        <v>4</v>
      </c>
      <c r="C31" s="2">
        <v>7</v>
      </c>
      <c r="D31" s="3">
        <f>$C$7</f>
        <v>677.76989861433196</v>
      </c>
      <c r="E31" s="3">
        <f>'Key formula data'!$E$28</f>
        <v>139.69</v>
      </c>
      <c r="F31" s="87">
        <f t="shared" si="7"/>
        <v>271.10795944573277</v>
      </c>
      <c r="G31" s="3">
        <f t="shared" si="8"/>
        <v>338.88494930716598</v>
      </c>
      <c r="H31" s="3">
        <f t="shared" si="9"/>
        <v>406.66193916859919</v>
      </c>
      <c r="I31" s="3">
        <f t="shared" si="10"/>
        <v>474.43892903003234</v>
      </c>
      <c r="J31" s="3">
        <f t="shared" si="11"/>
        <v>542.21591889146555</v>
      </c>
      <c r="K31" s="84">
        <v>500</v>
      </c>
      <c r="L31" s="291">
        <f>'Data 3. Benefit cap analysis'!I18</f>
        <v>488.43846153846152</v>
      </c>
      <c r="M31" s="84">
        <f t="shared" si="12"/>
        <v>11.561538461538476</v>
      </c>
      <c r="N31" s="85">
        <f t="shared" si="0"/>
        <v>-128.12846153846152</v>
      </c>
      <c r="O31" s="85">
        <f t="shared" si="1"/>
        <v>-259.5464209841943</v>
      </c>
      <c r="P31" s="85">
        <f t="shared" si="2"/>
        <v>-327.32341084562751</v>
      </c>
      <c r="Q31" s="85">
        <f t="shared" si="3"/>
        <v>-395.10040070706071</v>
      </c>
      <c r="R31" s="85">
        <f t="shared" si="4"/>
        <v>-462.87739056849387</v>
      </c>
      <c r="S31" s="85">
        <f t="shared" si="5"/>
        <v>-530.65438042992707</v>
      </c>
      <c r="T31" s="209">
        <f t="shared" si="6"/>
        <v>1.7058205867766459E-2</v>
      </c>
      <c r="V31" s="64"/>
      <c r="W31" s="334"/>
      <c r="X31" s="64"/>
    </row>
    <row r="32" spans="1:24" x14ac:dyDescent="0.2">
      <c r="A32" s="74" t="s">
        <v>156</v>
      </c>
      <c r="B32" s="2">
        <v>1</v>
      </c>
      <c r="C32" s="2">
        <v>2</v>
      </c>
      <c r="D32" s="3">
        <f>$C$4</f>
        <v>395.34660865898769</v>
      </c>
      <c r="E32" s="3">
        <f>'Key formula data'!$B$28</f>
        <v>96.88</v>
      </c>
      <c r="F32" s="87">
        <f t="shared" si="7"/>
        <v>158.13864346359509</v>
      </c>
      <c r="G32" s="3">
        <f t="shared" si="8"/>
        <v>197.67330432949385</v>
      </c>
      <c r="H32" s="3">
        <f t="shared" si="9"/>
        <v>237.2079651953926</v>
      </c>
      <c r="I32" s="3">
        <f t="shared" si="10"/>
        <v>276.74262606129139</v>
      </c>
      <c r="J32" s="3">
        <f t="shared" si="11"/>
        <v>316.27728692719018</v>
      </c>
      <c r="K32" s="84">
        <v>500</v>
      </c>
      <c r="L32" s="291">
        <f>'Data 3. Benefit cap analysis'!I19</f>
        <v>57.35</v>
      </c>
      <c r="M32" s="84">
        <f t="shared" si="12"/>
        <v>442.65</v>
      </c>
      <c r="N32" s="85">
        <f t="shared" si="0"/>
        <v>345.77</v>
      </c>
      <c r="O32" s="85">
        <f t="shared" si="1"/>
        <v>284.51135653640489</v>
      </c>
      <c r="P32" s="85">
        <f t="shared" si="2"/>
        <v>244.97669567050613</v>
      </c>
      <c r="Q32" s="85">
        <f t="shared" si="3"/>
        <v>205.44203480460737</v>
      </c>
      <c r="R32" s="85">
        <f t="shared" si="4"/>
        <v>165.90737393870859</v>
      </c>
      <c r="S32" s="85">
        <f t="shared" si="5"/>
        <v>126.3727130728098</v>
      </c>
      <c r="T32" s="209">
        <f t="shared" si="6"/>
        <v>1.1196504290285048</v>
      </c>
      <c r="V32" s="64"/>
      <c r="W32" s="334"/>
      <c r="X32" s="64"/>
    </row>
    <row r="33" spans="1:24" x14ac:dyDescent="0.2">
      <c r="A33" s="74" t="s">
        <v>157</v>
      </c>
      <c r="B33" s="2">
        <v>1</v>
      </c>
      <c r="C33" s="2">
        <v>2</v>
      </c>
      <c r="D33" s="3">
        <f>$C$4</f>
        <v>395.34660865898769</v>
      </c>
      <c r="E33" s="3">
        <f>'Key formula data'!$B$28</f>
        <v>96.88</v>
      </c>
      <c r="F33" s="87">
        <f t="shared" si="7"/>
        <v>158.13864346359509</v>
      </c>
      <c r="G33" s="3">
        <f t="shared" si="8"/>
        <v>197.67330432949385</v>
      </c>
      <c r="H33" s="3">
        <f t="shared" si="9"/>
        <v>237.2079651953926</v>
      </c>
      <c r="I33" s="3">
        <f t="shared" si="10"/>
        <v>276.74262606129139</v>
      </c>
      <c r="J33" s="3">
        <f t="shared" si="11"/>
        <v>316.27728692719018</v>
      </c>
      <c r="K33" s="84">
        <v>500</v>
      </c>
      <c r="L33" s="291">
        <f>'Data 3. Benefit cap analysis'!I20</f>
        <v>72.400000000000006</v>
      </c>
      <c r="M33" s="84">
        <f t="shared" si="12"/>
        <v>427.6</v>
      </c>
      <c r="N33" s="85">
        <f t="shared" si="0"/>
        <v>330.72</v>
      </c>
      <c r="O33" s="85">
        <f t="shared" si="1"/>
        <v>269.46135653640494</v>
      </c>
      <c r="P33" s="85">
        <f t="shared" si="2"/>
        <v>229.92669567050618</v>
      </c>
      <c r="Q33" s="85">
        <f t="shared" si="3"/>
        <v>190.39203480460742</v>
      </c>
      <c r="R33" s="85">
        <f t="shared" si="4"/>
        <v>150.85737393870863</v>
      </c>
      <c r="S33" s="85">
        <f t="shared" si="5"/>
        <v>111.32271307280985</v>
      </c>
      <c r="T33" s="209">
        <f t="shared" si="6"/>
        <v>1.0815825673841382</v>
      </c>
      <c r="V33" s="64"/>
      <c r="W33" s="334"/>
      <c r="X33" s="64"/>
    </row>
    <row r="34" spans="1:24" ht="13.5" thickBot="1" x14ac:dyDescent="0.25">
      <c r="A34" s="210"/>
      <c r="B34" s="64"/>
      <c r="C34" s="64"/>
      <c r="D34" s="64"/>
      <c r="E34" s="64"/>
      <c r="F34" s="64"/>
      <c r="G34" s="64"/>
      <c r="H34" s="64"/>
      <c r="I34" s="64"/>
      <c r="J34" s="64"/>
      <c r="K34" s="64"/>
      <c r="L34" s="64"/>
      <c r="M34" s="64"/>
      <c r="N34" s="64"/>
      <c r="O34" s="64"/>
      <c r="P34" s="64"/>
      <c r="Q34" s="64"/>
      <c r="R34" s="64"/>
      <c r="S34" s="64"/>
      <c r="T34" s="80"/>
      <c r="V34" s="64"/>
      <c r="W34" s="64"/>
      <c r="X34" s="64"/>
    </row>
    <row r="35" spans="1:24" ht="67.5" customHeight="1" x14ac:dyDescent="0.2">
      <c r="A35" s="296" t="s">
        <v>36</v>
      </c>
      <c r="B35" s="375" t="s">
        <v>163</v>
      </c>
      <c r="C35" s="375"/>
      <c r="D35" s="375" t="s">
        <v>172</v>
      </c>
      <c r="E35" s="375"/>
      <c r="F35" s="375"/>
      <c r="G35" s="375"/>
      <c r="H35" s="375"/>
      <c r="I35" s="375"/>
      <c r="J35" s="375"/>
      <c r="K35" s="375" t="s">
        <v>166</v>
      </c>
      <c r="L35" s="375"/>
      <c r="M35" s="375"/>
      <c r="N35" s="376" t="s">
        <v>310</v>
      </c>
      <c r="O35" s="377"/>
      <c r="P35" s="377"/>
      <c r="Q35" s="377"/>
      <c r="R35" s="377"/>
      <c r="S35" s="378"/>
      <c r="T35" s="373" t="s">
        <v>311</v>
      </c>
    </row>
    <row r="36" spans="1:24" ht="91.5" customHeight="1" x14ac:dyDescent="0.2">
      <c r="A36" s="180"/>
      <c r="B36" s="83" t="s">
        <v>164</v>
      </c>
      <c r="C36" s="83" t="s">
        <v>165</v>
      </c>
      <c r="D36" s="276" t="str">
        <f>D16</f>
        <v>October 2014</v>
      </c>
      <c r="E36" s="83" t="s">
        <v>162</v>
      </c>
      <c r="F36" s="83" t="s">
        <v>168</v>
      </c>
      <c r="G36" s="83" t="s">
        <v>158</v>
      </c>
      <c r="H36" s="83" t="s">
        <v>159</v>
      </c>
      <c r="I36" s="83" t="s">
        <v>160</v>
      </c>
      <c r="J36" s="83" t="s">
        <v>161</v>
      </c>
      <c r="K36" s="83" t="s">
        <v>312</v>
      </c>
      <c r="L36" s="83" t="s">
        <v>9</v>
      </c>
      <c r="M36" s="83" t="s">
        <v>142</v>
      </c>
      <c r="N36" s="83" t="s">
        <v>271</v>
      </c>
      <c r="O36" s="83" t="s">
        <v>218</v>
      </c>
      <c r="P36" s="83" t="s">
        <v>219</v>
      </c>
      <c r="Q36" s="83" t="s">
        <v>220</v>
      </c>
      <c r="R36" s="83" t="s">
        <v>221</v>
      </c>
      <c r="S36" s="83" t="s">
        <v>222</v>
      </c>
      <c r="T36" s="374"/>
    </row>
    <row r="37" spans="1:24" x14ac:dyDescent="0.2">
      <c r="A37" s="292" t="s">
        <v>292</v>
      </c>
      <c r="B37" s="230">
        <v>0</v>
      </c>
      <c r="C37" s="230">
        <v>1</v>
      </c>
      <c r="D37" s="3">
        <f>'Key formula data'!$B$8</f>
        <v>353.71907162159573</v>
      </c>
      <c r="E37" s="3">
        <f>'Key formula data'!$B$28</f>
        <v>96.88</v>
      </c>
      <c r="F37" s="87">
        <f>D37*0.4</f>
        <v>141.48762864863829</v>
      </c>
      <c r="G37" s="87">
        <f>D37*0.5</f>
        <v>176.85953581079787</v>
      </c>
      <c r="H37" s="87">
        <f>D37*0.6</f>
        <v>212.23144297295744</v>
      </c>
      <c r="I37" s="87">
        <f>D37*0.7</f>
        <v>247.60335013511698</v>
      </c>
      <c r="J37" s="87">
        <f>D37*0.8</f>
        <v>282.97525729727658</v>
      </c>
      <c r="K37" s="84">
        <v>350</v>
      </c>
      <c r="L37" s="291">
        <f>L17</f>
        <v>57.35</v>
      </c>
      <c r="M37" s="84">
        <f>K37-L37</f>
        <v>292.64999999999998</v>
      </c>
      <c r="N37" s="85">
        <f t="shared" ref="N37:N53" si="13">$M37-E37</f>
        <v>195.76999999999998</v>
      </c>
      <c r="O37" s="85">
        <f t="shared" ref="O37:O53" si="14">$M37-F37</f>
        <v>151.16237135136168</v>
      </c>
      <c r="P37" s="85">
        <f t="shared" ref="P37:P53" si="15">$M37-G37</f>
        <v>115.79046418920211</v>
      </c>
      <c r="Q37" s="85">
        <f t="shared" ref="Q37:Q53" si="16">$M37-H37</f>
        <v>80.418557027042539</v>
      </c>
      <c r="R37" s="85">
        <f t="shared" ref="R37:R53" si="17">$M37-I37</f>
        <v>45.046649864882994</v>
      </c>
      <c r="S37" s="85">
        <f t="shared" ref="S37:S53" si="18">$M37-J37</f>
        <v>9.6747427027233925</v>
      </c>
      <c r="T37" s="209">
        <f t="shared" ref="T37:T53" si="19">M37/D37</f>
        <v>0.82735148732119623</v>
      </c>
    </row>
    <row r="38" spans="1:24" x14ac:dyDescent="0.2">
      <c r="A38" s="292" t="s">
        <v>293</v>
      </c>
      <c r="B38" s="230">
        <v>1</v>
      </c>
      <c r="C38" s="2">
        <v>1</v>
      </c>
      <c r="D38" s="3">
        <f>'Key formula data'!$B$8</f>
        <v>353.71907162159573</v>
      </c>
      <c r="E38" s="3">
        <f>'Key formula data'!$B$28</f>
        <v>96.88</v>
      </c>
      <c r="F38" s="87">
        <f t="shared" ref="F38:F53" si="20">D38*0.4</f>
        <v>141.48762864863829</v>
      </c>
      <c r="G38" s="3">
        <f t="shared" ref="G38:G53" si="21">D38*0.5</f>
        <v>176.85953581079787</v>
      </c>
      <c r="H38" s="3">
        <f t="shared" ref="H38:H53" si="22">D38*0.6</f>
        <v>212.23144297295744</v>
      </c>
      <c r="I38" s="3">
        <f t="shared" ref="I38:I53" si="23">D38*0.7</f>
        <v>247.60335013511698</v>
      </c>
      <c r="J38" s="3">
        <f t="shared" ref="J38:J53" si="24">D38*0.8</f>
        <v>282.97525729727658</v>
      </c>
      <c r="K38" s="84">
        <v>350</v>
      </c>
      <c r="L38" s="291">
        <f t="shared" ref="L38:L53" si="25">L18</f>
        <v>72.400000000000006</v>
      </c>
      <c r="M38" s="84">
        <f>K38-L38</f>
        <v>277.60000000000002</v>
      </c>
      <c r="N38" s="85">
        <f t="shared" si="13"/>
        <v>180.72000000000003</v>
      </c>
      <c r="O38" s="85">
        <f t="shared" si="14"/>
        <v>136.11237135136173</v>
      </c>
      <c r="P38" s="85">
        <f t="shared" si="15"/>
        <v>100.74046418920216</v>
      </c>
      <c r="Q38" s="85">
        <f t="shared" si="16"/>
        <v>65.368557027042584</v>
      </c>
      <c r="R38" s="85">
        <f t="shared" si="17"/>
        <v>29.99664986488304</v>
      </c>
      <c r="S38" s="85">
        <f t="shared" si="18"/>
        <v>-5.375257297276562</v>
      </c>
      <c r="T38" s="209">
        <f t="shared" si="19"/>
        <v>0.78480359774599051</v>
      </c>
    </row>
    <row r="39" spans="1:24" x14ac:dyDescent="0.2">
      <c r="A39" s="74" t="s">
        <v>143</v>
      </c>
      <c r="B39" s="2">
        <v>1</v>
      </c>
      <c r="C39" s="2">
        <v>2</v>
      </c>
      <c r="D39" s="3">
        <f>'Key formula data'!$B$8</f>
        <v>353.71907162159573</v>
      </c>
      <c r="E39" s="3">
        <f>'Key formula data'!$B$28</f>
        <v>96.88</v>
      </c>
      <c r="F39" s="87">
        <f t="shared" si="20"/>
        <v>141.48762864863829</v>
      </c>
      <c r="G39" s="3">
        <f t="shared" si="21"/>
        <v>176.85953581079787</v>
      </c>
      <c r="H39" s="3">
        <f t="shared" si="22"/>
        <v>212.23144297295744</v>
      </c>
      <c r="I39" s="3">
        <f t="shared" si="23"/>
        <v>247.60335013511698</v>
      </c>
      <c r="J39" s="3">
        <f t="shared" si="24"/>
        <v>282.97525729727658</v>
      </c>
      <c r="K39" s="84">
        <v>500</v>
      </c>
      <c r="L39" s="291">
        <f t="shared" si="25"/>
        <v>112.55</v>
      </c>
      <c r="M39" s="84">
        <f t="shared" ref="M39:M53" si="26">K39-L39</f>
        <v>387.45</v>
      </c>
      <c r="N39" s="85">
        <f t="shared" si="13"/>
        <v>290.57</v>
      </c>
      <c r="O39" s="85">
        <f t="shared" si="14"/>
        <v>245.9623713513617</v>
      </c>
      <c r="P39" s="85">
        <f t="shared" si="15"/>
        <v>210.59046418920212</v>
      </c>
      <c r="Q39" s="85">
        <f t="shared" si="16"/>
        <v>175.21855702704255</v>
      </c>
      <c r="R39" s="85">
        <f t="shared" si="17"/>
        <v>139.84664986488301</v>
      </c>
      <c r="S39" s="85">
        <f t="shared" si="18"/>
        <v>104.4747427027234</v>
      </c>
      <c r="T39" s="209">
        <f t="shared" si="19"/>
        <v>1.0953607851105331</v>
      </c>
    </row>
    <row r="40" spans="1:24" x14ac:dyDescent="0.2">
      <c r="A40" s="74" t="s">
        <v>144</v>
      </c>
      <c r="B40" s="2">
        <v>2</v>
      </c>
      <c r="C40" s="2">
        <v>3</v>
      </c>
      <c r="D40" s="3">
        <f>'Key formula data'!$C$8</f>
        <v>448.47346531996857</v>
      </c>
      <c r="E40" s="3">
        <f>'Key formula data'!$C$28</f>
        <v>110.76</v>
      </c>
      <c r="F40" s="87">
        <f t="shared" si="20"/>
        <v>179.38938612798745</v>
      </c>
      <c r="G40" s="3">
        <f t="shared" si="21"/>
        <v>224.23673265998428</v>
      </c>
      <c r="H40" s="3">
        <f t="shared" si="22"/>
        <v>269.08407919198112</v>
      </c>
      <c r="I40" s="3">
        <f t="shared" si="23"/>
        <v>313.93142572397795</v>
      </c>
      <c r="J40" s="3">
        <f t="shared" si="24"/>
        <v>358.7787722559749</v>
      </c>
      <c r="K40" s="84">
        <v>500</v>
      </c>
      <c r="L40" s="291">
        <f t="shared" si="25"/>
        <v>196.4153846153846</v>
      </c>
      <c r="M40" s="84">
        <f t="shared" si="26"/>
        <v>303.5846153846154</v>
      </c>
      <c r="N40" s="85">
        <f t="shared" si="13"/>
        <v>192.82461538461541</v>
      </c>
      <c r="O40" s="85">
        <f t="shared" si="14"/>
        <v>124.19522925662795</v>
      </c>
      <c r="P40" s="85">
        <f t="shared" si="15"/>
        <v>79.34788272463112</v>
      </c>
      <c r="Q40" s="85">
        <f t="shared" si="16"/>
        <v>34.500536192634286</v>
      </c>
      <c r="R40" s="85">
        <f t="shared" si="17"/>
        <v>-10.346810339362548</v>
      </c>
      <c r="S40" s="85">
        <f t="shared" si="18"/>
        <v>-55.194156871359496</v>
      </c>
      <c r="T40" s="209">
        <f t="shared" si="19"/>
        <v>0.67692882380013153</v>
      </c>
    </row>
    <row r="41" spans="1:24" x14ac:dyDescent="0.2">
      <c r="A41" s="74" t="s">
        <v>145</v>
      </c>
      <c r="B41" s="2">
        <v>2</v>
      </c>
      <c r="C41" s="2">
        <v>4</v>
      </c>
      <c r="D41" s="3">
        <f>'Key formula data'!$C$8</f>
        <v>448.47346531996857</v>
      </c>
      <c r="E41" s="3">
        <f>'Key formula data'!$C$28</f>
        <v>110.76</v>
      </c>
      <c r="F41" s="87">
        <f t="shared" si="20"/>
        <v>179.38938612798745</v>
      </c>
      <c r="G41" s="3">
        <f t="shared" si="21"/>
        <v>224.23673265998428</v>
      </c>
      <c r="H41" s="3">
        <f t="shared" si="22"/>
        <v>269.08407919198112</v>
      </c>
      <c r="I41" s="3">
        <f t="shared" si="23"/>
        <v>313.93142572397795</v>
      </c>
      <c r="J41" s="3">
        <f t="shared" si="24"/>
        <v>358.7787722559749</v>
      </c>
      <c r="K41" s="84">
        <v>500</v>
      </c>
      <c r="L41" s="291">
        <f t="shared" si="25"/>
        <v>262.85000000000002</v>
      </c>
      <c r="M41" s="84">
        <f t="shared" si="26"/>
        <v>237.14999999999998</v>
      </c>
      <c r="N41" s="85">
        <f t="shared" si="13"/>
        <v>126.38999999999997</v>
      </c>
      <c r="O41" s="85">
        <f t="shared" si="14"/>
        <v>57.760613872012527</v>
      </c>
      <c r="P41" s="85">
        <f t="shared" si="15"/>
        <v>12.913267340015693</v>
      </c>
      <c r="Q41" s="85">
        <f t="shared" si="16"/>
        <v>-31.934079191981141</v>
      </c>
      <c r="R41" s="85">
        <f t="shared" si="17"/>
        <v>-76.781425723977975</v>
      </c>
      <c r="S41" s="85">
        <f t="shared" si="18"/>
        <v>-121.62877225597492</v>
      </c>
      <c r="T41" s="209">
        <f t="shared" si="19"/>
        <v>0.52879382692307686</v>
      </c>
    </row>
    <row r="42" spans="1:24" x14ac:dyDescent="0.2">
      <c r="A42" s="74" t="s">
        <v>146</v>
      </c>
      <c r="B42" s="2">
        <v>3</v>
      </c>
      <c r="C42" s="2">
        <v>5</v>
      </c>
      <c r="D42" s="3">
        <f>'Key formula data'!$D$8</f>
        <v>573.1260900396727</v>
      </c>
      <c r="E42" s="3">
        <f>'Key formula data'!$D$28</f>
        <v>124.18</v>
      </c>
      <c r="F42" s="87">
        <f t="shared" si="20"/>
        <v>229.2504360158691</v>
      </c>
      <c r="G42" s="3">
        <f t="shared" si="21"/>
        <v>286.56304501983635</v>
      </c>
      <c r="H42" s="3">
        <f t="shared" si="22"/>
        <v>343.87565402380363</v>
      </c>
      <c r="I42" s="3">
        <f t="shared" si="23"/>
        <v>401.18826302777086</v>
      </c>
      <c r="J42" s="3">
        <f t="shared" si="24"/>
        <v>458.5008720317382</v>
      </c>
      <c r="K42" s="84">
        <v>500</v>
      </c>
      <c r="L42" s="291">
        <f t="shared" si="25"/>
        <v>329.28461538461534</v>
      </c>
      <c r="M42" s="84">
        <f t="shared" si="26"/>
        <v>170.71538461538466</v>
      </c>
      <c r="N42" s="85">
        <f t="shared" si="13"/>
        <v>46.535384615384658</v>
      </c>
      <c r="O42" s="85">
        <f t="shared" si="14"/>
        <v>-58.535051400484434</v>
      </c>
      <c r="P42" s="85">
        <f t="shared" si="15"/>
        <v>-115.84766040445169</v>
      </c>
      <c r="Q42" s="85">
        <f t="shared" si="16"/>
        <v>-173.16026940841897</v>
      </c>
      <c r="R42" s="85">
        <f t="shared" si="17"/>
        <v>-230.47287841238619</v>
      </c>
      <c r="S42" s="85">
        <f t="shared" si="18"/>
        <v>-287.78548741635353</v>
      </c>
      <c r="T42" s="209">
        <f t="shared" si="19"/>
        <v>0.2978670620344076</v>
      </c>
    </row>
    <row r="43" spans="1:24" x14ac:dyDescent="0.2">
      <c r="A43" s="74" t="s">
        <v>147</v>
      </c>
      <c r="B43" s="2">
        <v>3</v>
      </c>
      <c r="C43" s="2">
        <v>6</v>
      </c>
      <c r="D43" s="3">
        <f>'Key formula data'!$D$8</f>
        <v>573.1260900396727</v>
      </c>
      <c r="E43" s="3">
        <f>'Key formula data'!$D$28</f>
        <v>124.18</v>
      </c>
      <c r="F43" s="87">
        <f t="shared" si="20"/>
        <v>229.2504360158691</v>
      </c>
      <c r="G43" s="3">
        <f t="shared" si="21"/>
        <v>286.56304501983635</v>
      </c>
      <c r="H43" s="3">
        <f t="shared" si="22"/>
        <v>343.87565402380363</v>
      </c>
      <c r="I43" s="3">
        <f t="shared" si="23"/>
        <v>401.18826302777086</v>
      </c>
      <c r="J43" s="3">
        <f t="shared" si="24"/>
        <v>458.5008720317382</v>
      </c>
      <c r="K43" s="84">
        <v>500</v>
      </c>
      <c r="L43" s="291">
        <f t="shared" si="25"/>
        <v>395.71923076923076</v>
      </c>
      <c r="M43" s="84">
        <f t="shared" si="26"/>
        <v>104.28076923076924</v>
      </c>
      <c r="N43" s="85">
        <f t="shared" si="13"/>
        <v>-19.899230769230769</v>
      </c>
      <c r="O43" s="85">
        <f t="shared" si="14"/>
        <v>-124.96966678509986</v>
      </c>
      <c r="P43" s="85">
        <f t="shared" si="15"/>
        <v>-182.28227578906711</v>
      </c>
      <c r="Q43" s="85">
        <f t="shared" si="16"/>
        <v>-239.5948847930344</v>
      </c>
      <c r="R43" s="85">
        <f t="shared" si="17"/>
        <v>-296.90749379700162</v>
      </c>
      <c r="S43" s="85">
        <f t="shared" si="18"/>
        <v>-354.22010280096896</v>
      </c>
      <c r="T43" s="209">
        <f t="shared" si="19"/>
        <v>0.18195083253590977</v>
      </c>
    </row>
    <row r="44" spans="1:24" x14ac:dyDescent="0.2">
      <c r="A44" s="74" t="s">
        <v>148</v>
      </c>
      <c r="B44" s="2">
        <v>4</v>
      </c>
      <c r="C44" s="2">
        <v>7</v>
      </c>
      <c r="D44" s="3">
        <f>'Key formula data'!$E$8</f>
        <v>680.29974893152155</v>
      </c>
      <c r="E44" s="3">
        <f>'Key formula data'!$E$28</f>
        <v>139.69</v>
      </c>
      <c r="F44" s="87">
        <f t="shared" si="20"/>
        <v>272.11989957260863</v>
      </c>
      <c r="G44" s="3">
        <f t="shared" si="21"/>
        <v>340.14987446576077</v>
      </c>
      <c r="H44" s="3">
        <f t="shared" si="22"/>
        <v>408.17984935891292</v>
      </c>
      <c r="I44" s="3">
        <f t="shared" si="23"/>
        <v>476.20982425206506</v>
      </c>
      <c r="J44" s="3">
        <f t="shared" si="24"/>
        <v>544.23979914521726</v>
      </c>
      <c r="K44" s="84">
        <v>500</v>
      </c>
      <c r="L44" s="291">
        <f t="shared" si="25"/>
        <v>462.15384615384613</v>
      </c>
      <c r="M44" s="84">
        <f t="shared" si="26"/>
        <v>37.846153846153868</v>
      </c>
      <c r="N44" s="85">
        <f t="shared" si="13"/>
        <v>-101.84384615384613</v>
      </c>
      <c r="O44" s="85">
        <f t="shared" si="14"/>
        <v>-234.27374572645476</v>
      </c>
      <c r="P44" s="85">
        <f t="shared" si="15"/>
        <v>-302.30372061960691</v>
      </c>
      <c r="Q44" s="85">
        <f t="shared" si="16"/>
        <v>-370.33369551275905</v>
      </c>
      <c r="R44" s="85">
        <f t="shared" si="17"/>
        <v>-438.36367040591119</v>
      </c>
      <c r="S44" s="85">
        <f t="shared" si="18"/>
        <v>-506.39364529906339</v>
      </c>
      <c r="T44" s="209">
        <f t="shared" si="19"/>
        <v>5.5631585790815029E-2</v>
      </c>
    </row>
    <row r="45" spans="1:24" x14ac:dyDescent="0.2">
      <c r="A45" s="74" t="s">
        <v>149</v>
      </c>
      <c r="B45" s="2">
        <v>4</v>
      </c>
      <c r="C45" s="2">
        <v>8</v>
      </c>
      <c r="D45" s="3">
        <f>'Key formula data'!$E$8</f>
        <v>680.29974893152155</v>
      </c>
      <c r="E45" s="3">
        <f>'Key formula data'!$E$28</f>
        <v>139.69</v>
      </c>
      <c r="F45" s="87">
        <f t="shared" si="20"/>
        <v>272.11989957260863</v>
      </c>
      <c r="G45" s="3">
        <f t="shared" si="21"/>
        <v>340.14987446576077</v>
      </c>
      <c r="H45" s="3">
        <f t="shared" si="22"/>
        <v>408.17984935891292</v>
      </c>
      <c r="I45" s="3">
        <f t="shared" si="23"/>
        <v>476.20982425206506</v>
      </c>
      <c r="J45" s="3">
        <f t="shared" si="24"/>
        <v>544.23979914521726</v>
      </c>
      <c r="K45" s="84">
        <v>500</v>
      </c>
      <c r="L45" s="291">
        <f t="shared" si="25"/>
        <v>528.5884615384615</v>
      </c>
      <c r="M45" s="84">
        <f t="shared" si="26"/>
        <v>-28.588461538461502</v>
      </c>
      <c r="N45" s="85">
        <f t="shared" si="13"/>
        <v>-168.2784615384615</v>
      </c>
      <c r="O45" s="85">
        <f t="shared" si="14"/>
        <v>-300.70836111107013</v>
      </c>
      <c r="P45" s="85">
        <f t="shared" si="15"/>
        <v>-368.73833600422228</v>
      </c>
      <c r="Q45" s="85">
        <f t="shared" si="16"/>
        <v>-436.76831089737442</v>
      </c>
      <c r="R45" s="85">
        <f t="shared" si="17"/>
        <v>-504.79828579052656</v>
      </c>
      <c r="S45" s="85">
        <f t="shared" si="18"/>
        <v>-572.82826068367876</v>
      </c>
      <c r="T45" s="209">
        <f t="shared" si="19"/>
        <v>-4.2023331014545466E-2</v>
      </c>
    </row>
    <row r="46" spans="1:24" x14ac:dyDescent="0.2">
      <c r="A46" s="74" t="s">
        <v>150</v>
      </c>
      <c r="B46" s="2">
        <v>2</v>
      </c>
      <c r="C46" s="2">
        <v>3</v>
      </c>
      <c r="D46" s="3">
        <f>'Key formula data'!$C$8</f>
        <v>448.47346531996857</v>
      </c>
      <c r="E46" s="3">
        <f>'Key formula data'!$C$28</f>
        <v>110.76</v>
      </c>
      <c r="F46" s="87">
        <f t="shared" si="20"/>
        <v>179.38938612798745</v>
      </c>
      <c r="G46" s="3">
        <f t="shared" si="21"/>
        <v>224.23673265998428</v>
      </c>
      <c r="H46" s="3">
        <f t="shared" si="22"/>
        <v>269.08407919198112</v>
      </c>
      <c r="I46" s="3">
        <f t="shared" si="23"/>
        <v>313.93142572397795</v>
      </c>
      <c r="J46" s="3">
        <f t="shared" si="24"/>
        <v>358.7787722559749</v>
      </c>
      <c r="K46" s="84">
        <v>500</v>
      </c>
      <c r="L46" s="291">
        <f t="shared" si="25"/>
        <v>156.26538461538462</v>
      </c>
      <c r="M46" s="84">
        <f t="shared" si="26"/>
        <v>343.73461538461538</v>
      </c>
      <c r="N46" s="85">
        <f t="shared" si="13"/>
        <v>232.97461538461539</v>
      </c>
      <c r="O46" s="85">
        <f t="shared" si="14"/>
        <v>164.34522925662793</v>
      </c>
      <c r="P46" s="85">
        <f t="shared" si="15"/>
        <v>119.4978827246311</v>
      </c>
      <c r="Q46" s="85">
        <f t="shared" si="16"/>
        <v>74.650536192634263</v>
      </c>
      <c r="R46" s="85">
        <f t="shared" si="17"/>
        <v>29.803189660637429</v>
      </c>
      <c r="S46" s="85">
        <f t="shared" si="18"/>
        <v>-15.044156871359519</v>
      </c>
      <c r="T46" s="209">
        <f t="shared" si="19"/>
        <v>0.7664547447403024</v>
      </c>
    </row>
    <row r="47" spans="1:24" x14ac:dyDescent="0.2">
      <c r="A47" s="74" t="s">
        <v>151</v>
      </c>
      <c r="B47" s="2">
        <v>2</v>
      </c>
      <c r="C47" s="2">
        <v>3</v>
      </c>
      <c r="D47" s="3">
        <f>'Key formula data'!$C$8</f>
        <v>448.47346531996857</v>
      </c>
      <c r="E47" s="3">
        <f>'Key formula data'!$C$28</f>
        <v>110.76</v>
      </c>
      <c r="F47" s="87">
        <f t="shared" si="20"/>
        <v>179.38938612798745</v>
      </c>
      <c r="G47" s="3">
        <f t="shared" si="21"/>
        <v>224.23673265998428</v>
      </c>
      <c r="H47" s="3">
        <f t="shared" si="22"/>
        <v>269.08407919198112</v>
      </c>
      <c r="I47" s="3">
        <f t="shared" si="23"/>
        <v>313.93142572397795</v>
      </c>
      <c r="J47" s="3">
        <f t="shared" si="24"/>
        <v>358.7787722559749</v>
      </c>
      <c r="K47" s="84">
        <v>500</v>
      </c>
      <c r="L47" s="291">
        <f t="shared" si="25"/>
        <v>222.7</v>
      </c>
      <c r="M47" s="84">
        <f t="shared" si="26"/>
        <v>277.3</v>
      </c>
      <c r="N47" s="85">
        <f t="shared" si="13"/>
        <v>166.54000000000002</v>
      </c>
      <c r="O47" s="85">
        <f t="shared" si="14"/>
        <v>97.910613872012561</v>
      </c>
      <c r="P47" s="85">
        <f t="shared" si="15"/>
        <v>53.063267340015727</v>
      </c>
      <c r="Q47" s="85">
        <f t="shared" si="16"/>
        <v>8.2159208080188932</v>
      </c>
      <c r="R47" s="85">
        <f t="shared" si="17"/>
        <v>-36.631425723977941</v>
      </c>
      <c r="S47" s="85">
        <f t="shared" si="18"/>
        <v>-81.478772255974889</v>
      </c>
      <c r="T47" s="209">
        <f t="shared" si="19"/>
        <v>0.61831974786324784</v>
      </c>
    </row>
    <row r="48" spans="1:24" x14ac:dyDescent="0.2">
      <c r="A48" s="74" t="s">
        <v>152</v>
      </c>
      <c r="B48" s="2">
        <v>3</v>
      </c>
      <c r="C48" s="2">
        <v>4</v>
      </c>
      <c r="D48" s="3">
        <f>'Key formula data'!$D$8</f>
        <v>573.1260900396727</v>
      </c>
      <c r="E48" s="3">
        <f>'Key formula data'!$D$28</f>
        <v>124.18</v>
      </c>
      <c r="F48" s="87">
        <f t="shared" si="20"/>
        <v>229.2504360158691</v>
      </c>
      <c r="G48" s="3">
        <f t="shared" si="21"/>
        <v>286.56304501983635</v>
      </c>
      <c r="H48" s="3">
        <f t="shared" si="22"/>
        <v>343.87565402380363</v>
      </c>
      <c r="I48" s="3">
        <f t="shared" si="23"/>
        <v>401.18826302777086</v>
      </c>
      <c r="J48" s="3">
        <f t="shared" si="24"/>
        <v>458.5008720317382</v>
      </c>
      <c r="K48" s="84">
        <v>500</v>
      </c>
      <c r="L48" s="291">
        <f t="shared" si="25"/>
        <v>289.13461538461536</v>
      </c>
      <c r="M48" s="84">
        <f t="shared" si="26"/>
        <v>210.86538461538464</v>
      </c>
      <c r="N48" s="85">
        <f t="shared" si="13"/>
        <v>86.685384615384635</v>
      </c>
      <c r="O48" s="85">
        <f t="shared" si="14"/>
        <v>-18.385051400484457</v>
      </c>
      <c r="P48" s="85">
        <f t="shared" si="15"/>
        <v>-75.69766040445171</v>
      </c>
      <c r="Q48" s="85">
        <f t="shared" si="16"/>
        <v>-133.01026940841899</v>
      </c>
      <c r="R48" s="85">
        <f t="shared" si="17"/>
        <v>-190.32287841238622</v>
      </c>
      <c r="S48" s="85">
        <f t="shared" si="18"/>
        <v>-247.63548741635356</v>
      </c>
      <c r="T48" s="209">
        <f t="shared" si="19"/>
        <v>0.36792145442338564</v>
      </c>
    </row>
    <row r="49" spans="1:20" x14ac:dyDescent="0.2">
      <c r="A49" s="74" t="s">
        <v>153</v>
      </c>
      <c r="B49" s="2">
        <v>3</v>
      </c>
      <c r="C49" s="2">
        <v>5</v>
      </c>
      <c r="D49" s="3">
        <f>'Key formula data'!$D$8</f>
        <v>573.1260900396727</v>
      </c>
      <c r="E49" s="3">
        <f>'Key formula data'!$D$28</f>
        <v>124.18</v>
      </c>
      <c r="F49" s="87">
        <f t="shared" si="20"/>
        <v>229.2504360158691</v>
      </c>
      <c r="G49" s="3">
        <f t="shared" si="21"/>
        <v>286.56304501983635</v>
      </c>
      <c r="H49" s="3">
        <f t="shared" si="22"/>
        <v>343.87565402380363</v>
      </c>
      <c r="I49" s="3">
        <f t="shared" si="23"/>
        <v>401.18826302777086</v>
      </c>
      <c r="J49" s="3">
        <f t="shared" si="24"/>
        <v>458.5008720317382</v>
      </c>
      <c r="K49" s="84">
        <v>500</v>
      </c>
      <c r="L49" s="291">
        <f t="shared" si="25"/>
        <v>355.56923076923078</v>
      </c>
      <c r="M49" s="84">
        <f t="shared" si="26"/>
        <v>144.43076923076922</v>
      </c>
      <c r="N49" s="85">
        <f t="shared" si="13"/>
        <v>20.250769230769208</v>
      </c>
      <c r="O49" s="85">
        <f t="shared" si="14"/>
        <v>-84.819666785099884</v>
      </c>
      <c r="P49" s="85">
        <f t="shared" si="15"/>
        <v>-142.13227578906714</v>
      </c>
      <c r="Q49" s="85">
        <f t="shared" si="16"/>
        <v>-199.44488479303442</v>
      </c>
      <c r="R49" s="85">
        <f t="shared" si="17"/>
        <v>-256.75749379700164</v>
      </c>
      <c r="S49" s="85">
        <f t="shared" si="18"/>
        <v>-314.07010280096898</v>
      </c>
      <c r="T49" s="209">
        <f t="shared" si="19"/>
        <v>0.25200522492488781</v>
      </c>
    </row>
    <row r="50" spans="1:20" x14ac:dyDescent="0.2">
      <c r="A50" s="74" t="s">
        <v>154</v>
      </c>
      <c r="B50" s="2">
        <v>4</v>
      </c>
      <c r="C50" s="2">
        <v>6</v>
      </c>
      <c r="D50" s="3">
        <f>'Key formula data'!$E$8</f>
        <v>680.29974893152155</v>
      </c>
      <c r="E50" s="3">
        <f>'Key formula data'!$E$28</f>
        <v>139.69</v>
      </c>
      <c r="F50" s="87">
        <f t="shared" si="20"/>
        <v>272.11989957260863</v>
      </c>
      <c r="G50" s="3">
        <f t="shared" si="21"/>
        <v>340.14987446576077</v>
      </c>
      <c r="H50" s="3">
        <f t="shared" si="22"/>
        <v>408.17984935891292</v>
      </c>
      <c r="I50" s="3">
        <f t="shared" si="23"/>
        <v>476.20982425206506</v>
      </c>
      <c r="J50" s="3">
        <f t="shared" si="24"/>
        <v>544.23979914521726</v>
      </c>
      <c r="K50" s="84">
        <v>500</v>
      </c>
      <c r="L50" s="291">
        <f t="shared" si="25"/>
        <v>422.00384615384615</v>
      </c>
      <c r="M50" s="84">
        <f t="shared" si="26"/>
        <v>77.996153846153845</v>
      </c>
      <c r="N50" s="85">
        <f t="shared" si="13"/>
        <v>-61.693846153846152</v>
      </c>
      <c r="O50" s="85">
        <f t="shared" si="14"/>
        <v>-194.12374572645479</v>
      </c>
      <c r="P50" s="85">
        <f t="shared" si="15"/>
        <v>-262.15372061960693</v>
      </c>
      <c r="Q50" s="85">
        <f t="shared" si="16"/>
        <v>-330.18369551275907</v>
      </c>
      <c r="R50" s="85">
        <f t="shared" si="17"/>
        <v>-398.21367040591122</v>
      </c>
      <c r="S50" s="85">
        <f t="shared" si="18"/>
        <v>-466.24364529906342</v>
      </c>
      <c r="T50" s="209">
        <f t="shared" si="19"/>
        <v>0.11464968783048143</v>
      </c>
    </row>
    <row r="51" spans="1:20" x14ac:dyDescent="0.2">
      <c r="A51" s="74" t="s">
        <v>155</v>
      </c>
      <c r="B51" s="2">
        <v>4</v>
      </c>
      <c r="C51" s="2">
        <v>7</v>
      </c>
      <c r="D51" s="3">
        <f>'Key formula data'!$E$8</f>
        <v>680.29974893152155</v>
      </c>
      <c r="E51" s="3">
        <f>'Key formula data'!$E$28</f>
        <v>139.69</v>
      </c>
      <c r="F51" s="87">
        <f t="shared" si="20"/>
        <v>272.11989957260863</v>
      </c>
      <c r="G51" s="3">
        <f t="shared" si="21"/>
        <v>340.14987446576077</v>
      </c>
      <c r="H51" s="3">
        <f t="shared" si="22"/>
        <v>408.17984935891292</v>
      </c>
      <c r="I51" s="3">
        <f t="shared" si="23"/>
        <v>476.20982425206506</v>
      </c>
      <c r="J51" s="3">
        <f t="shared" si="24"/>
        <v>544.23979914521726</v>
      </c>
      <c r="K51" s="84">
        <v>500</v>
      </c>
      <c r="L51" s="291">
        <f t="shared" si="25"/>
        <v>488.43846153846152</v>
      </c>
      <c r="M51" s="84">
        <f t="shared" si="26"/>
        <v>11.561538461538476</v>
      </c>
      <c r="N51" s="85">
        <f t="shared" si="13"/>
        <v>-128.12846153846152</v>
      </c>
      <c r="O51" s="85">
        <f t="shared" si="14"/>
        <v>-260.55836111107016</v>
      </c>
      <c r="P51" s="85">
        <f t="shared" si="15"/>
        <v>-328.5883360042223</v>
      </c>
      <c r="Q51" s="85">
        <f t="shared" si="16"/>
        <v>-396.61831089737444</v>
      </c>
      <c r="R51" s="85">
        <f t="shared" si="17"/>
        <v>-464.64828579052659</v>
      </c>
      <c r="S51" s="85">
        <f t="shared" si="18"/>
        <v>-532.67826068367879</v>
      </c>
      <c r="T51" s="209">
        <f t="shared" si="19"/>
        <v>1.6994771025120946E-2</v>
      </c>
    </row>
    <row r="52" spans="1:20" x14ac:dyDescent="0.2">
      <c r="A52" s="74" t="s">
        <v>156</v>
      </c>
      <c r="B52" s="2">
        <v>1</v>
      </c>
      <c r="C52" s="2">
        <v>2</v>
      </c>
      <c r="D52" s="3">
        <f>'Key formula data'!$B$8</f>
        <v>353.71907162159573</v>
      </c>
      <c r="E52" s="3">
        <f>'Key formula data'!$B$28</f>
        <v>96.88</v>
      </c>
      <c r="F52" s="87">
        <f t="shared" si="20"/>
        <v>141.48762864863829</v>
      </c>
      <c r="G52" s="3">
        <f t="shared" si="21"/>
        <v>176.85953581079787</v>
      </c>
      <c r="H52" s="3">
        <f t="shared" si="22"/>
        <v>212.23144297295744</v>
      </c>
      <c r="I52" s="3">
        <f t="shared" si="23"/>
        <v>247.60335013511698</v>
      </c>
      <c r="J52" s="3">
        <f t="shared" si="24"/>
        <v>282.97525729727658</v>
      </c>
      <c r="K52" s="84">
        <v>500</v>
      </c>
      <c r="L52" s="291">
        <f t="shared" si="25"/>
        <v>57.35</v>
      </c>
      <c r="M52" s="84">
        <f t="shared" si="26"/>
        <v>442.65</v>
      </c>
      <c r="N52" s="85">
        <f t="shared" si="13"/>
        <v>345.77</v>
      </c>
      <c r="O52" s="85">
        <f t="shared" si="14"/>
        <v>301.16237135136168</v>
      </c>
      <c r="P52" s="85">
        <f t="shared" si="15"/>
        <v>265.79046418920211</v>
      </c>
      <c r="Q52" s="85">
        <f t="shared" si="16"/>
        <v>230.41855702704254</v>
      </c>
      <c r="R52" s="85">
        <f t="shared" si="17"/>
        <v>195.04664986488299</v>
      </c>
      <c r="S52" s="85">
        <f t="shared" si="18"/>
        <v>159.67474270272339</v>
      </c>
      <c r="T52" s="209">
        <f t="shared" si="19"/>
        <v>1.2514168319245773</v>
      </c>
    </row>
    <row r="53" spans="1:20" x14ac:dyDescent="0.2">
      <c r="A53" s="74" t="s">
        <v>157</v>
      </c>
      <c r="B53" s="2">
        <v>1</v>
      </c>
      <c r="C53" s="2">
        <v>2</v>
      </c>
      <c r="D53" s="3">
        <f>'Key formula data'!$B$8</f>
        <v>353.71907162159573</v>
      </c>
      <c r="E53" s="3">
        <f>'Key formula data'!$B$28</f>
        <v>96.88</v>
      </c>
      <c r="F53" s="87">
        <f t="shared" si="20"/>
        <v>141.48762864863829</v>
      </c>
      <c r="G53" s="3">
        <f t="shared" si="21"/>
        <v>176.85953581079787</v>
      </c>
      <c r="H53" s="3">
        <f t="shared" si="22"/>
        <v>212.23144297295744</v>
      </c>
      <c r="I53" s="3">
        <f t="shared" si="23"/>
        <v>247.60335013511698</v>
      </c>
      <c r="J53" s="3">
        <f t="shared" si="24"/>
        <v>282.97525729727658</v>
      </c>
      <c r="K53" s="84">
        <v>500</v>
      </c>
      <c r="L53" s="291">
        <f t="shared" si="25"/>
        <v>72.400000000000006</v>
      </c>
      <c r="M53" s="84">
        <f t="shared" si="26"/>
        <v>427.6</v>
      </c>
      <c r="N53" s="85">
        <f t="shared" si="13"/>
        <v>330.72</v>
      </c>
      <c r="O53" s="85">
        <f t="shared" si="14"/>
        <v>286.11237135136173</v>
      </c>
      <c r="P53" s="85">
        <f t="shared" si="15"/>
        <v>250.74046418920216</v>
      </c>
      <c r="Q53" s="85">
        <f t="shared" si="16"/>
        <v>215.36855702704258</v>
      </c>
      <c r="R53" s="85">
        <f t="shared" si="17"/>
        <v>179.99664986488304</v>
      </c>
      <c r="S53" s="85">
        <f t="shared" si="18"/>
        <v>144.62474270272344</v>
      </c>
      <c r="T53" s="209">
        <f t="shared" si="19"/>
        <v>1.2088689423493715</v>
      </c>
    </row>
    <row r="54" spans="1:20" ht="13.5" thickBot="1" x14ac:dyDescent="0.25">
      <c r="A54" s="211"/>
      <c r="B54" s="126"/>
      <c r="C54" s="126"/>
      <c r="D54" s="126"/>
      <c r="E54" s="126"/>
      <c r="F54" s="126"/>
      <c r="G54" s="126"/>
      <c r="H54" s="126"/>
      <c r="I54" s="126"/>
      <c r="J54" s="126"/>
      <c r="K54" s="126"/>
      <c r="L54" s="126"/>
      <c r="M54" s="126"/>
      <c r="N54" s="126"/>
      <c r="O54" s="126"/>
      <c r="P54" s="126"/>
      <c r="Q54" s="126"/>
      <c r="R54" s="126"/>
      <c r="S54" s="126"/>
      <c r="T54" s="127"/>
    </row>
    <row r="55" spans="1:20" ht="13.9" customHeight="1" x14ac:dyDescent="0.2"/>
    <row r="56" spans="1:20" ht="13.9" customHeight="1" x14ac:dyDescent="0.2"/>
  </sheetData>
  <mergeCells count="14">
    <mergeCell ref="T35:T36"/>
    <mergeCell ref="K35:M35"/>
    <mergeCell ref="N35:S35"/>
    <mergeCell ref="D15:J15"/>
    <mergeCell ref="A5:A7"/>
    <mergeCell ref="B35:C35"/>
    <mergeCell ref="D35:J35"/>
    <mergeCell ref="B15:C15"/>
    <mergeCell ref="H2:S5"/>
    <mergeCell ref="H6:S8"/>
    <mergeCell ref="H9:S14"/>
    <mergeCell ref="K15:M15"/>
    <mergeCell ref="N15:S15"/>
    <mergeCell ref="T15:T16"/>
  </mergeCells>
  <phoneticPr fontId="0" type="noConversion"/>
  <conditionalFormatting sqref="M16:S33 M36:S53 N15 N35">
    <cfRule type="cellIs" dxfId="39" priority="1" stopIfTrue="1" operator="between">
      <formula>0</formula>
      <formula>-20</formula>
    </cfRule>
    <cfRule type="cellIs" dxfId="38" priority="2" stopIfTrue="1" operator="lessThan">
      <formula>-20</formula>
    </cfRule>
  </conditionalFormatting>
  <conditionalFormatting sqref="T37:T53 T17:T33">
    <cfRule type="cellIs" dxfId="37" priority="3" stopIfTrue="1" operator="greaterThan">
      <formula>0.8</formula>
    </cfRule>
    <cfRule type="cellIs" dxfId="36" priority="4" stopIfTrue="1" operator="between">
      <formula>0.4</formula>
      <formula>0.8</formula>
    </cfRule>
    <cfRule type="cellIs" dxfId="35" priority="5" stopIfTrue="1" operator="lessThan">
      <formula>0.4</formula>
    </cfRule>
  </conditionalFormatting>
  <conditionalFormatting sqref="D32:J33 D17:J19 D52:J53 D37:J39">
    <cfRule type="cellIs" dxfId="34" priority="6" stopIfTrue="1" operator="greaterThanOrEqual">
      <formula>$B$12</formula>
    </cfRule>
  </conditionalFormatting>
  <conditionalFormatting sqref="D26:J27 D20:J21 D46:J47 D40:J41">
    <cfRule type="cellIs" dxfId="33" priority="7" stopIfTrue="1" operator="greaterThanOrEqual">
      <formula>$C$12</formula>
    </cfRule>
  </conditionalFormatting>
  <conditionalFormatting sqref="D28:J29 D22:J23 D48:J49 D42:J43">
    <cfRule type="cellIs" dxfId="32" priority="8" stopIfTrue="1" operator="greaterThanOrEqual">
      <formula>$D$12</formula>
    </cfRule>
  </conditionalFormatting>
  <conditionalFormatting sqref="D30:J31 D24:J25 D50:J51 D44:J45">
    <cfRule type="cellIs" dxfId="31" priority="9" stopIfTrue="1" operator="greaterThanOrEqual">
      <formula>$E$12</formula>
    </cfRule>
  </conditionalFormatting>
  <dataValidations count="1">
    <dataValidation type="list" allowBlank="1" showInputMessage="1" showErrorMessage="1" sqref="A4">
      <formula1>$F$4:$F$13</formula1>
    </dataValidation>
  </dataValidations>
  <hyperlinks>
    <hyperlink ref="A10" r:id="rId1"/>
  </hyperlinks>
  <pageMargins left="0.75" right="0.75" top="1" bottom="1" header="0.5" footer="0.5"/>
  <pageSetup paperSize="8" scale="73"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pageSetUpPr fitToPage="1"/>
  </sheetPr>
  <dimension ref="A1:Q136"/>
  <sheetViews>
    <sheetView zoomScale="70" workbookViewId="0">
      <pane ySplit="7" topLeftCell="A8" activePane="bottomLeft" state="frozen"/>
      <selection pane="bottomLeft" activeCell="A9" sqref="A9:J27"/>
    </sheetView>
  </sheetViews>
  <sheetFormatPr defaultRowHeight="12.75" x14ac:dyDescent="0.2"/>
  <cols>
    <col min="1" max="1" width="32.5703125" customWidth="1"/>
    <col min="2" max="2" width="10.5703125" bestFit="1" customWidth="1"/>
    <col min="3" max="3" width="12.5703125" customWidth="1"/>
    <col min="4" max="7" width="10.5703125" bestFit="1" customWidth="1"/>
    <col min="8" max="8" width="11.28515625" customWidth="1"/>
    <col min="9" max="9" width="2.42578125" customWidth="1"/>
    <col min="10" max="10" width="15" customWidth="1"/>
    <col min="11" max="11" width="9.5703125" bestFit="1" customWidth="1"/>
    <col min="12" max="12" width="14" customWidth="1"/>
    <col min="13" max="13" width="13.5703125" customWidth="1"/>
    <col min="16" max="16" width="14.5703125" customWidth="1"/>
  </cols>
  <sheetData>
    <row r="1" spans="1:17" ht="20.25" x14ac:dyDescent="0.3">
      <c r="A1" s="202" t="s">
        <v>0</v>
      </c>
      <c r="B1" s="119"/>
      <c r="C1" s="119"/>
      <c r="D1" s="119"/>
      <c r="E1" s="119"/>
      <c r="F1" s="119"/>
      <c r="G1" s="119"/>
      <c r="H1" s="119"/>
      <c r="I1" s="119"/>
      <c r="J1" s="119"/>
      <c r="K1" s="119"/>
      <c r="L1" s="119"/>
      <c r="M1" s="119"/>
      <c r="N1" s="119"/>
      <c r="O1" s="119"/>
      <c r="P1" s="119"/>
      <c r="Q1" s="233"/>
    </row>
    <row r="2" spans="1:17" ht="13.5" thickBot="1" x14ac:dyDescent="0.25">
      <c r="A2" s="79"/>
      <c r="B2" s="64"/>
      <c r="C2" s="64"/>
      <c r="D2" s="64"/>
      <c r="E2" s="64"/>
      <c r="F2" s="64"/>
      <c r="G2" s="64"/>
      <c r="H2" s="64"/>
      <c r="I2" s="64"/>
      <c r="J2" s="64"/>
      <c r="K2" s="64"/>
      <c r="L2" s="64"/>
      <c r="M2" s="64"/>
      <c r="N2" s="64"/>
      <c r="O2" s="64"/>
      <c r="P2" s="64"/>
      <c r="Q2" s="80"/>
    </row>
    <row r="3" spans="1:17" ht="15" customHeight="1" x14ac:dyDescent="0.2">
      <c r="A3" s="178" t="s">
        <v>180</v>
      </c>
      <c r="B3" s="122" t="s">
        <v>102</v>
      </c>
      <c r="C3" s="179" t="s">
        <v>204</v>
      </c>
      <c r="D3" s="7"/>
      <c r="E3" s="402" t="s">
        <v>225</v>
      </c>
      <c r="F3" s="403"/>
      <c r="G3" s="403"/>
      <c r="H3" s="403"/>
      <c r="I3" s="403"/>
      <c r="J3" s="403"/>
      <c r="K3" s="403"/>
      <c r="L3" s="403"/>
      <c r="M3" s="403"/>
      <c r="N3" s="403"/>
      <c r="O3" s="403"/>
      <c r="P3" s="403"/>
      <c r="Q3" s="404"/>
    </row>
    <row r="4" spans="1:17" x14ac:dyDescent="0.2">
      <c r="A4" s="115" t="s">
        <v>36</v>
      </c>
      <c r="B4" s="189">
        <v>1</v>
      </c>
      <c r="C4" s="190">
        <f>VLOOKUP($A$4,rentstable3,2,FALSE)</f>
        <v>353.71907162159573</v>
      </c>
      <c r="D4" s="10"/>
      <c r="E4" s="405"/>
      <c r="F4" s="406"/>
      <c r="G4" s="406"/>
      <c r="H4" s="406"/>
      <c r="I4" s="406"/>
      <c r="J4" s="406"/>
      <c r="K4" s="406"/>
      <c r="L4" s="406"/>
      <c r="M4" s="406"/>
      <c r="N4" s="406"/>
      <c r="O4" s="406"/>
      <c r="P4" s="406"/>
      <c r="Q4" s="407"/>
    </row>
    <row r="5" spans="1:17" ht="13.15" customHeight="1" x14ac:dyDescent="0.2">
      <c r="A5" s="401" t="s">
        <v>181</v>
      </c>
      <c r="B5" s="189">
        <v>2</v>
      </c>
      <c r="C5" s="190">
        <f>VLOOKUP($A$4,rentstable3,3,FALSE)</f>
        <v>448.47346531996857</v>
      </c>
      <c r="D5" s="10"/>
      <c r="E5" s="405"/>
      <c r="F5" s="406"/>
      <c r="G5" s="406"/>
      <c r="H5" s="406"/>
      <c r="I5" s="406"/>
      <c r="J5" s="406"/>
      <c r="K5" s="406"/>
      <c r="L5" s="406"/>
      <c r="M5" s="406"/>
      <c r="N5" s="406"/>
      <c r="O5" s="406"/>
      <c r="P5" s="406"/>
      <c r="Q5" s="407"/>
    </row>
    <row r="6" spans="1:17" x14ac:dyDescent="0.2">
      <c r="A6" s="401"/>
      <c r="B6" s="189">
        <v>3</v>
      </c>
      <c r="C6" s="190">
        <f>VLOOKUP($A$4,rentstable3,4,FALSE)</f>
        <v>573.1260900396727</v>
      </c>
      <c r="D6" s="10"/>
      <c r="E6" s="405"/>
      <c r="F6" s="406"/>
      <c r="G6" s="406"/>
      <c r="H6" s="406"/>
      <c r="I6" s="406"/>
      <c r="J6" s="406"/>
      <c r="K6" s="406"/>
      <c r="L6" s="406"/>
      <c r="M6" s="406"/>
      <c r="N6" s="406"/>
      <c r="O6" s="406"/>
      <c r="P6" s="406"/>
      <c r="Q6" s="407"/>
    </row>
    <row r="7" spans="1:17" ht="12" customHeight="1" thickBot="1" x14ac:dyDescent="0.25">
      <c r="A7" s="401"/>
      <c r="B7" s="189">
        <v>4</v>
      </c>
      <c r="C7" s="190">
        <f>VLOOKUP($A$4,rentstable3,5,FALSE)</f>
        <v>680.29974893152155</v>
      </c>
      <c r="D7" s="10"/>
      <c r="E7" s="408"/>
      <c r="F7" s="409"/>
      <c r="G7" s="409"/>
      <c r="H7" s="409"/>
      <c r="I7" s="409"/>
      <c r="J7" s="409"/>
      <c r="K7" s="409"/>
      <c r="L7" s="409"/>
      <c r="M7" s="409"/>
      <c r="N7" s="409"/>
      <c r="O7" s="409"/>
      <c r="P7" s="409"/>
      <c r="Q7" s="410"/>
    </row>
    <row r="8" spans="1:17" x14ac:dyDescent="0.2">
      <c r="A8" s="112"/>
      <c r="B8" s="10"/>
      <c r="C8" s="10"/>
      <c r="D8" s="10"/>
      <c r="E8" s="10"/>
      <c r="F8" s="10"/>
      <c r="G8" s="10"/>
      <c r="H8" s="10"/>
      <c r="I8" s="10"/>
      <c r="J8" s="10"/>
      <c r="K8" s="10"/>
      <c r="L8" s="10"/>
      <c r="M8" s="10"/>
      <c r="N8" s="10"/>
      <c r="O8" s="10"/>
      <c r="P8" s="10"/>
      <c r="Q8" s="11"/>
    </row>
    <row r="9" spans="1:17" ht="39" customHeight="1" x14ac:dyDescent="0.2">
      <c r="A9" s="296" t="str">
        <f>A4</f>
        <v>Southwark</v>
      </c>
      <c r="B9" s="83" t="s">
        <v>168</v>
      </c>
      <c r="C9" s="83" t="s">
        <v>158</v>
      </c>
      <c r="D9" s="83" t="s">
        <v>159</v>
      </c>
      <c r="E9" s="83" t="s">
        <v>160</v>
      </c>
      <c r="F9" s="83" t="s">
        <v>173</v>
      </c>
      <c r="G9" s="83" t="s">
        <v>174</v>
      </c>
      <c r="H9" s="88" t="s">
        <v>175</v>
      </c>
      <c r="I9" s="279"/>
      <c r="J9" s="208" t="s">
        <v>1</v>
      </c>
      <c r="K9" s="10"/>
      <c r="L9" s="229" t="s">
        <v>199</v>
      </c>
      <c r="M9" s="229" t="s">
        <v>200</v>
      </c>
      <c r="N9" s="10"/>
      <c r="O9" s="411" t="s">
        <v>275</v>
      </c>
      <c r="P9" s="411"/>
      <c r="Q9" s="11"/>
    </row>
    <row r="10" spans="1:17" x14ac:dyDescent="0.2">
      <c r="A10" s="191" t="s">
        <v>176</v>
      </c>
      <c r="B10" s="192">
        <f>H10*0.4</f>
        <v>141.48762864863829</v>
      </c>
      <c r="C10" s="192">
        <f>H10*0.5</f>
        <v>176.85953581079787</v>
      </c>
      <c r="D10" s="192">
        <f>H10*0.6</f>
        <v>212.23144297295744</v>
      </c>
      <c r="E10" s="192">
        <f>H10*0.7</f>
        <v>247.60335013511698</v>
      </c>
      <c r="F10" s="192">
        <f>H10*0.8</f>
        <v>282.97525729727658</v>
      </c>
      <c r="G10" s="192">
        <f>H10*0.9</f>
        <v>318.34716445943616</v>
      </c>
      <c r="H10" s="192">
        <f>C4</f>
        <v>353.71907162159573</v>
      </c>
      <c r="I10" s="280"/>
      <c r="J10" s="260"/>
      <c r="K10" s="10"/>
      <c r="L10" s="230" t="s">
        <v>36</v>
      </c>
      <c r="M10" s="230" t="str">
        <f>'Key formula data'!G8</f>
        <v>Southwark</v>
      </c>
      <c r="N10" s="10"/>
      <c r="O10" s="412" t="s">
        <v>274</v>
      </c>
      <c r="P10" s="412"/>
      <c r="Q10" s="11"/>
    </row>
    <row r="11" spans="1:17" x14ac:dyDescent="0.2">
      <c r="A11" s="182" t="s">
        <v>207</v>
      </c>
      <c r="B11" s="278">
        <f>'Key formula data'!$C$45</f>
        <v>96.594284838147075</v>
      </c>
      <c r="C11" s="278">
        <f>'Key formula data'!$C$45</f>
        <v>96.594284838147075</v>
      </c>
      <c r="D11" s="278">
        <f>'Key formula data'!$C$45</f>
        <v>96.594284838147075</v>
      </c>
      <c r="E11" s="278">
        <f>'Key formula data'!$C$45</f>
        <v>96.594284838147075</v>
      </c>
      <c r="F11" s="278">
        <f>'Key formula data'!$C$45</f>
        <v>96.594284838147075</v>
      </c>
      <c r="G11" s="278">
        <f>'Key formula data'!$C$45</f>
        <v>96.594284838147075</v>
      </c>
      <c r="H11" s="278">
        <f>'Key formula data'!$C$45</f>
        <v>96.594284838147075</v>
      </c>
      <c r="I11" s="281"/>
      <c r="J11" s="209">
        <f>H11/$H$10</f>
        <v>0.27308192457737318</v>
      </c>
      <c r="K11" s="10"/>
      <c r="L11" s="230" t="s">
        <v>26</v>
      </c>
      <c r="M11" s="230" t="str">
        <f>'Key formula data'!G9</f>
        <v>Bankside</v>
      </c>
      <c r="N11" s="10"/>
      <c r="O11" s="400" t="s">
        <v>272</v>
      </c>
      <c r="P11" s="400"/>
      <c r="Q11" s="11"/>
    </row>
    <row r="12" spans="1:17" x14ac:dyDescent="0.2">
      <c r="A12" s="182" t="s">
        <v>208</v>
      </c>
      <c r="B12" s="278">
        <f>'Key formula data'!$C$46</f>
        <v>52.321904287329666</v>
      </c>
      <c r="C12" s="278">
        <f>'Key formula data'!$C$46</f>
        <v>52.321904287329666</v>
      </c>
      <c r="D12" s="278">
        <f>'Key formula data'!$C$46</f>
        <v>52.321904287329666</v>
      </c>
      <c r="E12" s="278">
        <f>'Key formula data'!$C$46</f>
        <v>52.321904287329666</v>
      </c>
      <c r="F12" s="278">
        <f>'Key formula data'!$C$46</f>
        <v>52.321904287329666</v>
      </c>
      <c r="G12" s="278">
        <f>'Key formula data'!$C$46</f>
        <v>52.321904287329666</v>
      </c>
      <c r="H12" s="278">
        <f>'Key formula data'!$C$46</f>
        <v>52.321904287329666</v>
      </c>
      <c r="I12" s="281"/>
      <c r="J12" s="209">
        <f>H12/$H$10</f>
        <v>0.14791937581274381</v>
      </c>
      <c r="K12" s="10"/>
      <c r="L12" s="230" t="s">
        <v>25</v>
      </c>
      <c r="M12" s="230" t="str">
        <f>'Key formula data'!G10</f>
        <v>Camberwell</v>
      </c>
      <c r="N12" s="10"/>
      <c r="O12" s="398" t="s">
        <v>273</v>
      </c>
      <c r="P12" s="399"/>
      <c r="Q12" s="11"/>
    </row>
    <row r="13" spans="1:17" x14ac:dyDescent="0.2">
      <c r="A13" s="182" t="s">
        <v>209</v>
      </c>
      <c r="B13" s="278">
        <f>'Key formula data'!$C$47</f>
        <v>264.48435134254555</v>
      </c>
      <c r="C13" s="278">
        <f>'Key formula data'!$C$47</f>
        <v>264.48435134254555</v>
      </c>
      <c r="D13" s="278">
        <f>'Key formula data'!$C$47</f>
        <v>264.48435134254555</v>
      </c>
      <c r="E13" s="278">
        <f>'Key formula data'!$C$47</f>
        <v>264.48435134254555</v>
      </c>
      <c r="F13" s="278">
        <f>'Key formula data'!$C$47</f>
        <v>264.48435134254555</v>
      </c>
      <c r="G13" s="278">
        <f>'Key formula data'!$C$47</f>
        <v>264.48435134254555</v>
      </c>
      <c r="H13" s="278">
        <f>'Key formula data'!$C$47</f>
        <v>264.48435134254555</v>
      </c>
      <c r="I13" s="281"/>
      <c r="J13" s="209">
        <f>H13/$H$10</f>
        <v>0.74772431729518851</v>
      </c>
      <c r="K13" s="10"/>
      <c r="L13" s="230" t="s">
        <v>30</v>
      </c>
      <c r="M13" s="230" t="str">
        <f>'Key formula data'!G11</f>
        <v>Kennington</v>
      </c>
      <c r="N13" s="10"/>
      <c r="O13" s="10"/>
      <c r="P13" s="10"/>
      <c r="Q13" s="11"/>
    </row>
    <row r="14" spans="1:17" x14ac:dyDescent="0.2">
      <c r="A14" s="182" t="s">
        <v>197</v>
      </c>
      <c r="B14" s="278">
        <f>'Key formula data'!$C$52</f>
        <v>96.594284838147075</v>
      </c>
      <c r="C14" s="278">
        <f>'Key formula data'!$C$52</f>
        <v>96.594284838147075</v>
      </c>
      <c r="D14" s="278">
        <f>'Key formula data'!$C$52</f>
        <v>96.594284838147075</v>
      </c>
      <c r="E14" s="278">
        <f>'Key formula data'!$C$52</f>
        <v>96.594284838147075</v>
      </c>
      <c r="F14" s="278">
        <f>'Key formula data'!$C$52</f>
        <v>96.594284838147075</v>
      </c>
      <c r="G14" s="278">
        <f>'Key formula data'!$C$52</f>
        <v>96.594284838147075</v>
      </c>
      <c r="H14" s="278">
        <f>'Key formula data'!$C$52</f>
        <v>96.594284838147075</v>
      </c>
      <c r="I14" s="281"/>
      <c r="J14" s="209">
        <f>H14/$H$10</f>
        <v>0.27308192457737318</v>
      </c>
      <c r="K14" s="10"/>
      <c r="L14" s="230" t="s">
        <v>29</v>
      </c>
      <c r="M14" s="230" t="str">
        <f>'Key formula data'!G12</f>
        <v>Peckham</v>
      </c>
      <c r="N14" s="10"/>
      <c r="O14" s="10"/>
      <c r="P14" s="10"/>
      <c r="Q14" s="11"/>
    </row>
    <row r="15" spans="1:17" x14ac:dyDescent="0.2">
      <c r="A15" s="191" t="s">
        <v>177</v>
      </c>
      <c r="B15" s="192">
        <f>H15*0.4</f>
        <v>179.38938612798745</v>
      </c>
      <c r="C15" s="192">
        <f>H15*0.5</f>
        <v>224.23673265998428</v>
      </c>
      <c r="D15" s="192">
        <f>H15*0.6</f>
        <v>269.08407919198112</v>
      </c>
      <c r="E15" s="192">
        <f>H15*0.7</f>
        <v>313.93142572397795</v>
      </c>
      <c r="F15" s="192">
        <f>H15*0.8</f>
        <v>358.7787722559749</v>
      </c>
      <c r="G15" s="192">
        <f>H15*0.9</f>
        <v>403.62611878797173</v>
      </c>
      <c r="H15" s="192">
        <f>C5</f>
        <v>448.47346531996857</v>
      </c>
      <c r="I15" s="280"/>
      <c r="J15" s="260"/>
      <c r="K15" s="10"/>
      <c r="L15" s="230" t="s">
        <v>28</v>
      </c>
      <c r="M15" s="230" t="str">
        <f>'Key formula data'!G13</f>
        <v>Rotherhithe</v>
      </c>
      <c r="N15" s="10"/>
      <c r="O15" s="10"/>
      <c r="P15" s="10"/>
      <c r="Q15" s="11"/>
    </row>
    <row r="16" spans="1:17" x14ac:dyDescent="0.2">
      <c r="A16" s="182" t="str">
        <f>A12</f>
        <v>30% Lone parent median income</v>
      </c>
      <c r="B16" s="278">
        <f>'Key formula data'!$C$46</f>
        <v>52.321904287329666</v>
      </c>
      <c r="C16" s="278">
        <f>'Key formula data'!$C$46</f>
        <v>52.321904287329666</v>
      </c>
      <c r="D16" s="278">
        <f>'Key formula data'!$C$46</f>
        <v>52.321904287329666</v>
      </c>
      <c r="E16" s="278">
        <f>'Key formula data'!$C$46</f>
        <v>52.321904287329666</v>
      </c>
      <c r="F16" s="278">
        <f>'Key formula data'!$C$46</f>
        <v>52.321904287329666</v>
      </c>
      <c r="G16" s="278">
        <f>'Key formula data'!$C$46</f>
        <v>52.321904287329666</v>
      </c>
      <c r="H16" s="278">
        <f>'Key formula data'!$C$46</f>
        <v>52.321904287329666</v>
      </c>
      <c r="I16" s="281"/>
      <c r="J16" s="209">
        <f>H16/$H$15</f>
        <v>0.11666666666666667</v>
      </c>
      <c r="K16" s="10"/>
      <c r="L16" s="230" t="s">
        <v>27</v>
      </c>
      <c r="M16" s="230" t="str">
        <f>'Key formula data'!G14</f>
        <v>Walworth</v>
      </c>
      <c r="N16" s="10"/>
      <c r="O16" s="10"/>
      <c r="P16" s="10"/>
      <c r="Q16" s="11"/>
    </row>
    <row r="17" spans="1:17" x14ac:dyDescent="0.2">
      <c r="A17" s="182" t="s">
        <v>210</v>
      </c>
      <c r="B17" s="278">
        <f>'Key formula data'!$C$48</f>
        <v>169.0399984667574</v>
      </c>
      <c r="C17" s="278">
        <f>'Key formula data'!$C$48</f>
        <v>169.0399984667574</v>
      </c>
      <c r="D17" s="278">
        <f>'Key formula data'!$C$48</f>
        <v>169.0399984667574</v>
      </c>
      <c r="E17" s="278">
        <f>'Key formula data'!$C$48</f>
        <v>169.0399984667574</v>
      </c>
      <c r="F17" s="278">
        <f>'Key formula data'!$C$48</f>
        <v>169.0399984667574</v>
      </c>
      <c r="G17" s="278">
        <f>'Key formula data'!$C$48</f>
        <v>169.0399984667574</v>
      </c>
      <c r="H17" s="278">
        <f>'Key formula data'!$C$48</f>
        <v>169.0399984667574</v>
      </c>
      <c r="I17" s="281"/>
      <c r="J17" s="209">
        <f>H17/$H$15</f>
        <v>0.37692307692307697</v>
      </c>
      <c r="K17" s="10"/>
      <c r="L17" s="230" t="s">
        <v>33</v>
      </c>
      <c r="M17" s="230" t="str">
        <f>'Key formula data'!G15</f>
        <v>Dulwich</v>
      </c>
      <c r="N17" s="10"/>
      <c r="O17" s="10"/>
      <c r="P17" s="10"/>
      <c r="Q17" s="11"/>
    </row>
    <row r="18" spans="1:17" x14ac:dyDescent="0.2">
      <c r="A18" s="182" t="str">
        <f>A13</f>
        <v>30% Adult couple median income</v>
      </c>
      <c r="B18" s="278">
        <f>'Key formula data'!$C$47</f>
        <v>264.48435134254555</v>
      </c>
      <c r="C18" s="278">
        <f>'Key formula data'!$C$47</f>
        <v>264.48435134254555</v>
      </c>
      <c r="D18" s="278">
        <f>'Key formula data'!$C$47</f>
        <v>264.48435134254555</v>
      </c>
      <c r="E18" s="278">
        <f>'Key formula data'!$C$47</f>
        <v>264.48435134254555</v>
      </c>
      <c r="F18" s="278">
        <f>'Key formula data'!$C$47</f>
        <v>264.48435134254555</v>
      </c>
      <c r="G18" s="278">
        <f>'Key formula data'!$C$47</f>
        <v>264.48435134254555</v>
      </c>
      <c r="H18" s="278">
        <f>'Key formula data'!$C$47</f>
        <v>264.48435134254555</v>
      </c>
      <c r="I18" s="281"/>
      <c r="J18" s="209">
        <f>H18/$H$15</f>
        <v>0.58974358974358976</v>
      </c>
      <c r="K18" s="10"/>
      <c r="L18" s="230" t="s">
        <v>32</v>
      </c>
      <c r="M18" s="230" t="str">
        <f>'Key formula data'!G16</f>
        <v>East Dulwich</v>
      </c>
      <c r="N18" s="10"/>
      <c r="O18" s="10"/>
      <c r="P18" s="10"/>
      <c r="Q18" s="11"/>
    </row>
    <row r="19" spans="1:17" x14ac:dyDescent="0.2">
      <c r="A19" s="182" t="s">
        <v>197</v>
      </c>
      <c r="B19" s="278">
        <f>'Key formula data'!$C$52</f>
        <v>96.594284838147075</v>
      </c>
      <c r="C19" s="278">
        <f>'Key formula data'!$C$52</f>
        <v>96.594284838147075</v>
      </c>
      <c r="D19" s="278">
        <f>'Key formula data'!$C$52</f>
        <v>96.594284838147075</v>
      </c>
      <c r="E19" s="278">
        <f>'Key formula data'!$C$52</f>
        <v>96.594284838147075</v>
      </c>
      <c r="F19" s="278">
        <f>'Key formula data'!$C$52</f>
        <v>96.594284838147075</v>
      </c>
      <c r="G19" s="278">
        <f>'Key formula data'!$C$52</f>
        <v>96.594284838147075</v>
      </c>
      <c r="H19" s="278">
        <f>'Key formula data'!$C$52</f>
        <v>96.594284838147075</v>
      </c>
      <c r="I19" s="281"/>
      <c r="J19" s="209">
        <f>H19/$H$15</f>
        <v>0.21538461538461537</v>
      </c>
      <c r="K19" s="10"/>
      <c r="L19" s="230" t="s">
        <v>31</v>
      </c>
      <c r="M19" s="230" t="str">
        <f>'Key formula data'!G17</f>
        <v>Herne Hill</v>
      </c>
      <c r="N19" s="10"/>
      <c r="O19" s="10"/>
      <c r="P19" s="10"/>
      <c r="Q19" s="11"/>
    </row>
    <row r="20" spans="1:17" x14ac:dyDescent="0.2">
      <c r="A20" s="191" t="s">
        <v>178</v>
      </c>
      <c r="B20" s="192">
        <f>H20*0.4</f>
        <v>229.2504360158691</v>
      </c>
      <c r="C20" s="192">
        <f>H20*0.5</f>
        <v>286.56304501983635</v>
      </c>
      <c r="D20" s="192">
        <f>H20*0.6</f>
        <v>343.87565402380363</v>
      </c>
      <c r="E20" s="192">
        <f>H20*0.7</f>
        <v>401.18826302777086</v>
      </c>
      <c r="F20" s="192">
        <f>H20*0.8</f>
        <v>458.5008720317382</v>
      </c>
      <c r="G20" s="192">
        <f>H20*0.9</f>
        <v>515.81348103570542</v>
      </c>
      <c r="H20" s="192">
        <f>C6</f>
        <v>573.1260900396727</v>
      </c>
      <c r="I20" s="280"/>
      <c r="J20" s="260"/>
      <c r="K20" s="10"/>
      <c r="L20" s="10"/>
      <c r="M20" s="10"/>
      <c r="N20" s="10"/>
      <c r="O20" s="10"/>
      <c r="P20" s="10"/>
      <c r="Q20" s="11"/>
    </row>
    <row r="21" spans="1:17" x14ac:dyDescent="0.2">
      <c r="A21" s="182" t="str">
        <f>A16</f>
        <v>30% Lone parent median income</v>
      </c>
      <c r="B21" s="278">
        <f>'Key formula data'!$C$46</f>
        <v>52.321904287329666</v>
      </c>
      <c r="C21" s="278">
        <f>'Key formula data'!$C$46</f>
        <v>52.321904287329666</v>
      </c>
      <c r="D21" s="278">
        <f>'Key formula data'!$C$46</f>
        <v>52.321904287329666</v>
      </c>
      <c r="E21" s="278">
        <f>'Key formula data'!$C$46</f>
        <v>52.321904287329666</v>
      </c>
      <c r="F21" s="278">
        <f>'Key formula data'!$C$46</f>
        <v>52.321904287329666</v>
      </c>
      <c r="G21" s="278">
        <f>'Key formula data'!$C$46</f>
        <v>52.321904287329666</v>
      </c>
      <c r="H21" s="278">
        <f>'Key formula data'!$C$46</f>
        <v>52.321904287329666</v>
      </c>
      <c r="I21" s="281"/>
      <c r="J21" s="209">
        <f>H21/$H$20</f>
        <v>9.1292134831460661E-2</v>
      </c>
      <c r="K21" s="224"/>
      <c r="L21" s="224"/>
      <c r="M21" s="224"/>
      <c r="N21" s="224"/>
      <c r="O21" s="224"/>
      <c r="P21" s="224"/>
      <c r="Q21" s="225"/>
    </row>
    <row r="22" spans="1:17" x14ac:dyDescent="0.2">
      <c r="A22" s="182" t="s">
        <v>210</v>
      </c>
      <c r="B22" s="278">
        <f>'Key formula data'!$C$48</f>
        <v>169.0399984667574</v>
      </c>
      <c r="C22" s="278">
        <f>'Key formula data'!$C$48</f>
        <v>169.0399984667574</v>
      </c>
      <c r="D22" s="278">
        <f>'Key formula data'!$C$48</f>
        <v>169.0399984667574</v>
      </c>
      <c r="E22" s="278">
        <f>'Key formula data'!$C$48</f>
        <v>169.0399984667574</v>
      </c>
      <c r="F22" s="278">
        <f>'Key formula data'!$C$48</f>
        <v>169.0399984667574</v>
      </c>
      <c r="G22" s="278">
        <f>'Key formula data'!$C$48</f>
        <v>169.0399984667574</v>
      </c>
      <c r="H22" s="278">
        <f>'Key formula data'!$C$48</f>
        <v>169.0399984667574</v>
      </c>
      <c r="I22" s="281"/>
      <c r="J22" s="209">
        <f>H22/$H$20</f>
        <v>0.2949438202247191</v>
      </c>
      <c r="K22" s="224"/>
      <c r="L22" s="224"/>
      <c r="M22" s="224"/>
      <c r="N22" s="224"/>
      <c r="O22" s="224"/>
      <c r="P22" s="224"/>
      <c r="Q22" s="225"/>
    </row>
    <row r="23" spans="1:17" x14ac:dyDescent="0.2">
      <c r="A23" s="182" t="s">
        <v>197</v>
      </c>
      <c r="B23" s="278">
        <f>'Key formula data'!$C$52</f>
        <v>96.594284838147075</v>
      </c>
      <c r="C23" s="278">
        <f>'Key formula data'!$C$52</f>
        <v>96.594284838147075</v>
      </c>
      <c r="D23" s="278">
        <f>'Key formula data'!$C$52</f>
        <v>96.594284838147075</v>
      </c>
      <c r="E23" s="278">
        <f>'Key formula data'!$C$52</f>
        <v>96.594284838147075</v>
      </c>
      <c r="F23" s="278">
        <f>'Key formula data'!$C$52</f>
        <v>96.594284838147075</v>
      </c>
      <c r="G23" s="278">
        <f>'Key formula data'!$C$52</f>
        <v>96.594284838147075</v>
      </c>
      <c r="H23" s="278">
        <f>'Key formula data'!$C$52</f>
        <v>96.594284838147075</v>
      </c>
      <c r="I23" s="281"/>
      <c r="J23" s="209">
        <f>H23/$H$20</f>
        <v>0.16853932584269662</v>
      </c>
      <c r="K23" s="224"/>
      <c r="L23" s="224"/>
      <c r="M23" s="224"/>
      <c r="N23" s="224"/>
      <c r="O23" s="224"/>
      <c r="P23" s="224"/>
      <c r="Q23" s="225"/>
    </row>
    <row r="24" spans="1:17" x14ac:dyDescent="0.2">
      <c r="A24" s="191" t="s">
        <v>179</v>
      </c>
      <c r="B24" s="192">
        <f>H24*0.4</f>
        <v>272.11989957260863</v>
      </c>
      <c r="C24" s="192">
        <f>H24*0.5</f>
        <v>340.14987446576077</v>
      </c>
      <c r="D24" s="192">
        <f>H24*0.6</f>
        <v>408.17984935891292</v>
      </c>
      <c r="E24" s="192">
        <f>H24*0.7</f>
        <v>476.20982425206506</v>
      </c>
      <c r="F24" s="192">
        <f>H24*0.8</f>
        <v>544.23979914521726</v>
      </c>
      <c r="G24" s="192">
        <f>H24*0.9</f>
        <v>612.26977403836941</v>
      </c>
      <c r="H24" s="192">
        <f>C7</f>
        <v>680.29974893152155</v>
      </c>
      <c r="I24" s="280"/>
      <c r="J24" s="260"/>
      <c r="K24" s="224"/>
      <c r="L24" s="224"/>
      <c r="M24" s="224"/>
      <c r="N24" s="224"/>
      <c r="O24" s="224"/>
      <c r="P24" s="224"/>
      <c r="Q24" s="225"/>
    </row>
    <row r="25" spans="1:17" x14ac:dyDescent="0.2">
      <c r="A25" s="182" t="str">
        <f>A12</f>
        <v>30% Lone parent median income</v>
      </c>
      <c r="B25" s="278">
        <f>'Key formula data'!$C$46</f>
        <v>52.321904287329666</v>
      </c>
      <c r="C25" s="278">
        <f>'Key formula data'!$C$46</f>
        <v>52.321904287329666</v>
      </c>
      <c r="D25" s="278">
        <f>'Key formula data'!$C$46</f>
        <v>52.321904287329666</v>
      </c>
      <c r="E25" s="278">
        <f>'Key formula data'!$C$46</f>
        <v>52.321904287329666</v>
      </c>
      <c r="F25" s="278">
        <f>'Key formula data'!$C$46</f>
        <v>52.321904287329666</v>
      </c>
      <c r="G25" s="278">
        <f>'Key formula data'!$C$46</f>
        <v>52.321904287329666</v>
      </c>
      <c r="H25" s="278">
        <f>'Key formula data'!$C$46</f>
        <v>52.321904287329666</v>
      </c>
      <c r="I25" s="281"/>
      <c r="J25" s="209">
        <f>H25/$H$24</f>
        <v>7.691007437457742E-2</v>
      </c>
      <c r="K25" s="224"/>
      <c r="L25" s="224"/>
      <c r="M25" s="224"/>
      <c r="N25" s="224"/>
      <c r="O25" s="224"/>
      <c r="P25" s="224"/>
      <c r="Q25" s="225"/>
    </row>
    <row r="26" spans="1:17" x14ac:dyDescent="0.2">
      <c r="A26" s="182" t="str">
        <f>A17</f>
        <v>30% Adult couple with children median income</v>
      </c>
      <c r="B26" s="278">
        <f>'Key formula data'!$C$48</f>
        <v>169.0399984667574</v>
      </c>
      <c r="C26" s="278">
        <f>'Key formula data'!$C$48</f>
        <v>169.0399984667574</v>
      </c>
      <c r="D26" s="278">
        <f>'Key formula data'!$C$48</f>
        <v>169.0399984667574</v>
      </c>
      <c r="E26" s="278">
        <f>'Key formula data'!$C$48</f>
        <v>169.0399984667574</v>
      </c>
      <c r="F26" s="278">
        <f>'Key formula data'!$C$48</f>
        <v>169.0399984667574</v>
      </c>
      <c r="G26" s="278">
        <f>'Key formula data'!$C$48</f>
        <v>169.0399984667574</v>
      </c>
      <c r="H26" s="278">
        <f>'Key formula data'!$C$48</f>
        <v>169.0399984667574</v>
      </c>
      <c r="I26" s="281"/>
      <c r="J26" s="209">
        <f>H26/$H$24</f>
        <v>0.24847870182555784</v>
      </c>
      <c r="K26" s="224"/>
      <c r="L26" s="224"/>
      <c r="M26" s="224"/>
      <c r="N26" s="224"/>
      <c r="O26" s="224"/>
      <c r="P26" s="224"/>
      <c r="Q26" s="225"/>
    </row>
    <row r="27" spans="1:17" x14ac:dyDescent="0.2">
      <c r="A27" s="182" t="s">
        <v>197</v>
      </c>
      <c r="B27" s="278">
        <f>'Key formula data'!$C$52</f>
        <v>96.594284838147075</v>
      </c>
      <c r="C27" s="278">
        <f>'Key formula data'!$C$52</f>
        <v>96.594284838147075</v>
      </c>
      <c r="D27" s="278">
        <f>'Key formula data'!$C$52</f>
        <v>96.594284838147075</v>
      </c>
      <c r="E27" s="278">
        <f>'Key formula data'!$C$52</f>
        <v>96.594284838147075</v>
      </c>
      <c r="F27" s="278">
        <f>'Key formula data'!$C$52</f>
        <v>96.594284838147075</v>
      </c>
      <c r="G27" s="278">
        <f>'Key formula data'!$C$52</f>
        <v>96.594284838147075</v>
      </c>
      <c r="H27" s="278">
        <f>'Key formula data'!$C$52</f>
        <v>96.594284838147075</v>
      </c>
      <c r="I27" s="281"/>
      <c r="J27" s="209">
        <f>H27/$H$24</f>
        <v>0.14198782961460446</v>
      </c>
      <c r="K27" s="226"/>
      <c r="L27" s="226"/>
      <c r="M27" s="226"/>
      <c r="N27" s="226"/>
      <c r="O27" s="226"/>
      <c r="P27" s="226"/>
      <c r="Q27" s="227"/>
    </row>
    <row r="28" spans="1:17" x14ac:dyDescent="0.2">
      <c r="A28" s="112"/>
      <c r="B28" s="10"/>
      <c r="C28" s="10"/>
      <c r="D28" s="10"/>
      <c r="E28" s="10"/>
      <c r="F28" s="10"/>
      <c r="G28" s="10"/>
      <c r="H28" s="10"/>
      <c r="I28" s="10"/>
      <c r="J28" s="10"/>
      <c r="K28" s="226"/>
      <c r="L28" s="226"/>
      <c r="M28" s="226"/>
      <c r="N28" s="226"/>
      <c r="O28" s="226"/>
      <c r="P28" s="226"/>
      <c r="Q28" s="227"/>
    </row>
    <row r="29" spans="1:17" ht="51" x14ac:dyDescent="0.2">
      <c r="A29" s="81" t="s">
        <v>36</v>
      </c>
      <c r="B29" s="83" t="s">
        <v>168</v>
      </c>
      <c r="C29" s="83" t="s">
        <v>158</v>
      </c>
      <c r="D29" s="83" t="s">
        <v>159</v>
      </c>
      <c r="E29" s="83" t="s">
        <v>160</v>
      </c>
      <c r="F29" s="83" t="s">
        <v>173</v>
      </c>
      <c r="G29" s="83" t="s">
        <v>174</v>
      </c>
      <c r="H29" s="88" t="s">
        <v>175</v>
      </c>
      <c r="I29" s="279"/>
      <c r="J29" s="208" t="s">
        <v>1</v>
      </c>
      <c r="K29" s="226"/>
      <c r="L29" s="226"/>
      <c r="M29" s="226"/>
      <c r="N29" s="226"/>
      <c r="O29" s="226"/>
      <c r="P29" s="226"/>
      <c r="Q29" s="227"/>
    </row>
    <row r="30" spans="1:17" x14ac:dyDescent="0.2">
      <c r="A30" s="191" t="s">
        <v>176</v>
      </c>
      <c r="B30" s="192">
        <f>H30*0.4</f>
        <v>141.48762864863829</v>
      </c>
      <c r="C30" s="192">
        <f>H30*0.5</f>
        <v>176.85953581079787</v>
      </c>
      <c r="D30" s="192">
        <f>H30*0.6</f>
        <v>212.23144297295744</v>
      </c>
      <c r="E30" s="192">
        <f>H30*0.7</f>
        <v>247.60335013511698</v>
      </c>
      <c r="F30" s="192">
        <f>H30*0.8</f>
        <v>282.97525729727658</v>
      </c>
      <c r="G30" s="192">
        <f>H30*0.9</f>
        <v>318.34716445943616</v>
      </c>
      <c r="H30" s="192">
        <f>'Key formula data'!B8</f>
        <v>353.71907162159573</v>
      </c>
      <c r="I30" s="280"/>
      <c r="J30" s="260"/>
      <c r="K30" s="226"/>
      <c r="L30" s="226"/>
      <c r="M30" s="226"/>
      <c r="N30" s="226"/>
      <c r="O30" s="226"/>
      <c r="P30" s="226"/>
      <c r="Q30" s="227"/>
    </row>
    <row r="31" spans="1:17" x14ac:dyDescent="0.2">
      <c r="A31" s="182" t="s">
        <v>207</v>
      </c>
      <c r="B31" s="278">
        <f>'Key formula data'!$C$45</f>
        <v>96.594284838147075</v>
      </c>
      <c r="C31" s="278">
        <f>'Key formula data'!$C$45</f>
        <v>96.594284838147075</v>
      </c>
      <c r="D31" s="278">
        <f>'Key formula data'!$C$45</f>
        <v>96.594284838147075</v>
      </c>
      <c r="E31" s="278">
        <f>'Key formula data'!$C$45</f>
        <v>96.594284838147075</v>
      </c>
      <c r="F31" s="278">
        <f>'Key formula data'!$C$45</f>
        <v>96.594284838147075</v>
      </c>
      <c r="G31" s="278">
        <f>'Key formula data'!$C$45</f>
        <v>96.594284838147075</v>
      </c>
      <c r="H31" s="278">
        <f>'Key formula data'!$C$45</f>
        <v>96.594284838147075</v>
      </c>
      <c r="I31" s="281"/>
      <c r="J31" s="209">
        <f>H31/$H$30</f>
        <v>0.27308192457737318</v>
      </c>
      <c r="K31" s="228"/>
      <c r="L31" s="228"/>
      <c r="M31" s="228"/>
      <c r="N31" s="228"/>
      <c r="O31" s="228"/>
      <c r="P31" s="228"/>
      <c r="Q31" s="220"/>
    </row>
    <row r="32" spans="1:17" x14ac:dyDescent="0.2">
      <c r="A32" s="182" t="s">
        <v>208</v>
      </c>
      <c r="B32" s="278">
        <f>'Key formula data'!$C$46</f>
        <v>52.321904287329666</v>
      </c>
      <c r="C32" s="278">
        <f>'Key formula data'!$C$46</f>
        <v>52.321904287329666</v>
      </c>
      <c r="D32" s="278">
        <f>'Key formula data'!$C$46</f>
        <v>52.321904287329666</v>
      </c>
      <c r="E32" s="278">
        <f>'Key formula data'!$C$46</f>
        <v>52.321904287329666</v>
      </c>
      <c r="F32" s="278">
        <f>'Key formula data'!$C$46</f>
        <v>52.321904287329666</v>
      </c>
      <c r="G32" s="278">
        <f>'Key formula data'!$C$46</f>
        <v>52.321904287329666</v>
      </c>
      <c r="H32" s="278">
        <f>'Key formula data'!$C$46</f>
        <v>52.321904287329666</v>
      </c>
      <c r="I32" s="281"/>
      <c r="J32" s="209">
        <f>H32/$H$30</f>
        <v>0.14791937581274381</v>
      </c>
      <c r="K32" s="228"/>
      <c r="L32" s="228"/>
      <c r="M32" s="228"/>
      <c r="N32" s="228"/>
      <c r="O32" s="228"/>
      <c r="P32" s="228"/>
      <c r="Q32" s="220"/>
    </row>
    <row r="33" spans="1:17" x14ac:dyDescent="0.2">
      <c r="A33" s="182" t="s">
        <v>209</v>
      </c>
      <c r="B33" s="278">
        <f>'Key formula data'!$C$47</f>
        <v>264.48435134254555</v>
      </c>
      <c r="C33" s="278">
        <f>'Key formula data'!$C$47</f>
        <v>264.48435134254555</v>
      </c>
      <c r="D33" s="278">
        <f>'Key formula data'!$C$47</f>
        <v>264.48435134254555</v>
      </c>
      <c r="E33" s="278">
        <f>'Key formula data'!$C$47</f>
        <v>264.48435134254555</v>
      </c>
      <c r="F33" s="278">
        <f>'Key formula data'!$C$47</f>
        <v>264.48435134254555</v>
      </c>
      <c r="G33" s="278">
        <f>'Key formula data'!$C$47</f>
        <v>264.48435134254555</v>
      </c>
      <c r="H33" s="278">
        <f>'Key formula data'!$C$47</f>
        <v>264.48435134254555</v>
      </c>
      <c r="I33" s="281"/>
      <c r="J33" s="209">
        <f>H33/$H$30</f>
        <v>0.74772431729518851</v>
      </c>
      <c r="K33" s="228"/>
      <c r="L33" s="228"/>
      <c r="M33" s="228"/>
      <c r="N33" s="228"/>
      <c r="O33" s="228"/>
      <c r="P33" s="228"/>
      <c r="Q33" s="220"/>
    </row>
    <row r="34" spans="1:17" x14ac:dyDescent="0.2">
      <c r="A34" s="182" t="s">
        <v>197</v>
      </c>
      <c r="B34" s="278">
        <f>'Key formula data'!$C$52</f>
        <v>96.594284838147075</v>
      </c>
      <c r="C34" s="278">
        <f>'Key formula data'!$C$52</f>
        <v>96.594284838147075</v>
      </c>
      <c r="D34" s="278">
        <f>'Key formula data'!$C$52</f>
        <v>96.594284838147075</v>
      </c>
      <c r="E34" s="278">
        <f>'Key formula data'!$C$52</f>
        <v>96.594284838147075</v>
      </c>
      <c r="F34" s="278">
        <f>'Key formula data'!$C$52</f>
        <v>96.594284838147075</v>
      </c>
      <c r="G34" s="278">
        <f>'Key formula data'!$C$52</f>
        <v>96.594284838147075</v>
      </c>
      <c r="H34" s="278">
        <f>'Key formula data'!$C$52</f>
        <v>96.594284838147075</v>
      </c>
      <c r="I34" s="281"/>
      <c r="J34" s="209">
        <f>H34/$H$30</f>
        <v>0.27308192457737318</v>
      </c>
      <c r="K34" s="228"/>
      <c r="L34" s="228"/>
      <c r="M34" s="228"/>
      <c r="N34" s="228"/>
      <c r="O34" s="228"/>
      <c r="P34" s="228"/>
      <c r="Q34" s="220"/>
    </row>
    <row r="35" spans="1:17" x14ac:dyDescent="0.2">
      <c r="A35" s="191" t="s">
        <v>177</v>
      </c>
      <c r="B35" s="192">
        <f>H35*0.4</f>
        <v>179.38938612798745</v>
      </c>
      <c r="C35" s="192">
        <f>H35*0.5</f>
        <v>224.23673265998428</v>
      </c>
      <c r="D35" s="192">
        <f>H35*0.6</f>
        <v>269.08407919198112</v>
      </c>
      <c r="E35" s="192">
        <f>H35*0.7</f>
        <v>313.93142572397795</v>
      </c>
      <c r="F35" s="192">
        <f>H35*0.8</f>
        <v>358.7787722559749</v>
      </c>
      <c r="G35" s="192">
        <f>H35*0.9</f>
        <v>403.62611878797173</v>
      </c>
      <c r="H35" s="192">
        <f>'Key formula data'!C8</f>
        <v>448.47346531996857</v>
      </c>
      <c r="I35" s="280"/>
      <c r="J35" s="260"/>
      <c r="K35" s="228"/>
      <c r="L35" s="228"/>
      <c r="M35" s="228"/>
      <c r="N35" s="228"/>
      <c r="O35" s="228"/>
      <c r="P35" s="228"/>
      <c r="Q35" s="220"/>
    </row>
    <row r="36" spans="1:17" x14ac:dyDescent="0.2">
      <c r="A36" s="182" t="str">
        <f>A32</f>
        <v>30% Lone parent median income</v>
      </c>
      <c r="B36" s="278">
        <f>'Key formula data'!$C$46</f>
        <v>52.321904287329666</v>
      </c>
      <c r="C36" s="278">
        <f>'Key formula data'!$C$46</f>
        <v>52.321904287329666</v>
      </c>
      <c r="D36" s="278">
        <f>'Key formula data'!$C$46</f>
        <v>52.321904287329666</v>
      </c>
      <c r="E36" s="278">
        <f>'Key formula data'!$C$46</f>
        <v>52.321904287329666</v>
      </c>
      <c r="F36" s="278">
        <f>'Key formula data'!$C$46</f>
        <v>52.321904287329666</v>
      </c>
      <c r="G36" s="278">
        <f>'Key formula data'!$C$46</f>
        <v>52.321904287329666</v>
      </c>
      <c r="H36" s="278">
        <f>'Key formula data'!$C$46</f>
        <v>52.321904287329666</v>
      </c>
      <c r="I36" s="281"/>
      <c r="J36" s="209">
        <f>H36/$H$35</f>
        <v>0.11666666666666667</v>
      </c>
      <c r="K36" s="228"/>
      <c r="L36" s="228"/>
      <c r="M36" s="228"/>
      <c r="N36" s="228"/>
      <c r="O36" s="228"/>
      <c r="P36" s="228"/>
      <c r="Q36" s="220"/>
    </row>
    <row r="37" spans="1:17" x14ac:dyDescent="0.2">
      <c r="A37" s="182" t="s">
        <v>210</v>
      </c>
      <c r="B37" s="278">
        <f>'Key formula data'!$C$48</f>
        <v>169.0399984667574</v>
      </c>
      <c r="C37" s="278">
        <f>'Key formula data'!$C$48</f>
        <v>169.0399984667574</v>
      </c>
      <c r="D37" s="278">
        <f>'Key formula data'!$C$48</f>
        <v>169.0399984667574</v>
      </c>
      <c r="E37" s="278">
        <f>'Key formula data'!$C$48</f>
        <v>169.0399984667574</v>
      </c>
      <c r="F37" s="278">
        <f>'Key formula data'!$C$48</f>
        <v>169.0399984667574</v>
      </c>
      <c r="G37" s="278">
        <f>'Key formula data'!$C$48</f>
        <v>169.0399984667574</v>
      </c>
      <c r="H37" s="278">
        <f>'Key formula data'!$C$48</f>
        <v>169.0399984667574</v>
      </c>
      <c r="I37" s="281"/>
      <c r="J37" s="209">
        <f>H37/$H$35</f>
        <v>0.37692307692307697</v>
      </c>
      <c r="K37" s="228"/>
      <c r="L37" s="228"/>
      <c r="M37" s="228"/>
      <c r="N37" s="228"/>
      <c r="O37" s="228"/>
      <c r="P37" s="228"/>
      <c r="Q37" s="220"/>
    </row>
    <row r="38" spans="1:17" x14ac:dyDescent="0.2">
      <c r="A38" s="182" t="str">
        <f>A33</f>
        <v>30% Adult couple median income</v>
      </c>
      <c r="B38" s="278">
        <f>'Key formula data'!$C$47</f>
        <v>264.48435134254555</v>
      </c>
      <c r="C38" s="278">
        <f>'Key formula data'!$C$47</f>
        <v>264.48435134254555</v>
      </c>
      <c r="D38" s="278">
        <f>'Key formula data'!$C$47</f>
        <v>264.48435134254555</v>
      </c>
      <c r="E38" s="278">
        <f>'Key formula data'!$C$47</f>
        <v>264.48435134254555</v>
      </c>
      <c r="F38" s="278">
        <f>'Key formula data'!$C$47</f>
        <v>264.48435134254555</v>
      </c>
      <c r="G38" s="278">
        <f>'Key formula data'!$C$47</f>
        <v>264.48435134254555</v>
      </c>
      <c r="H38" s="278">
        <f>'Key formula data'!$C$47</f>
        <v>264.48435134254555</v>
      </c>
      <c r="I38" s="281"/>
      <c r="J38" s="209">
        <f>H38/$H$35</f>
        <v>0.58974358974358976</v>
      </c>
      <c r="K38" s="228"/>
      <c r="L38" s="228"/>
      <c r="M38" s="228"/>
      <c r="N38" s="228"/>
      <c r="O38" s="228"/>
      <c r="P38" s="228"/>
      <c r="Q38" s="220"/>
    </row>
    <row r="39" spans="1:17" x14ac:dyDescent="0.2">
      <c r="A39" s="182" t="s">
        <v>197</v>
      </c>
      <c r="B39" s="278">
        <f>'Key formula data'!$C$52</f>
        <v>96.594284838147075</v>
      </c>
      <c r="C39" s="278">
        <f>'Key formula data'!$C$52</f>
        <v>96.594284838147075</v>
      </c>
      <c r="D39" s="278">
        <f>'Key formula data'!$C$52</f>
        <v>96.594284838147075</v>
      </c>
      <c r="E39" s="278">
        <f>'Key formula data'!$C$52</f>
        <v>96.594284838147075</v>
      </c>
      <c r="F39" s="278">
        <f>'Key formula data'!$C$52</f>
        <v>96.594284838147075</v>
      </c>
      <c r="G39" s="278">
        <f>'Key formula data'!$C$52</f>
        <v>96.594284838147075</v>
      </c>
      <c r="H39" s="278">
        <f>'Key formula data'!$C$52</f>
        <v>96.594284838147075</v>
      </c>
      <c r="I39" s="281"/>
      <c r="J39" s="209">
        <f>H39/$H$35</f>
        <v>0.21538461538461537</v>
      </c>
      <c r="K39" s="228"/>
      <c r="L39" s="228"/>
      <c r="M39" s="228"/>
      <c r="N39" s="228"/>
      <c r="O39" s="228"/>
      <c r="P39" s="228"/>
      <c r="Q39" s="220"/>
    </row>
    <row r="40" spans="1:17" x14ac:dyDescent="0.2">
      <c r="A40" s="191" t="s">
        <v>178</v>
      </c>
      <c r="B40" s="192">
        <f>H40*0.4</f>
        <v>229.2504360158691</v>
      </c>
      <c r="C40" s="192">
        <f>H40*0.5</f>
        <v>286.56304501983635</v>
      </c>
      <c r="D40" s="192">
        <f>H40*0.6</f>
        <v>343.87565402380363</v>
      </c>
      <c r="E40" s="192">
        <f>H40*0.7</f>
        <v>401.18826302777086</v>
      </c>
      <c r="F40" s="192">
        <f>H40*0.8</f>
        <v>458.5008720317382</v>
      </c>
      <c r="G40" s="192">
        <f>H40*0.9</f>
        <v>515.81348103570542</v>
      </c>
      <c r="H40" s="192">
        <f>'Key formula data'!D8</f>
        <v>573.1260900396727</v>
      </c>
      <c r="I40" s="280"/>
      <c r="J40" s="260"/>
      <c r="K40" s="10"/>
      <c r="L40" s="10"/>
      <c r="M40" s="10"/>
      <c r="N40" s="10"/>
      <c r="O40" s="10"/>
      <c r="P40" s="10"/>
      <c r="Q40" s="11"/>
    </row>
    <row r="41" spans="1:17" x14ac:dyDescent="0.2">
      <c r="A41" s="182" t="str">
        <f>A36</f>
        <v>30% Lone parent median income</v>
      </c>
      <c r="B41" s="278">
        <f>'Key formula data'!$C$46</f>
        <v>52.321904287329666</v>
      </c>
      <c r="C41" s="278">
        <f>'Key formula data'!$C$46</f>
        <v>52.321904287329666</v>
      </c>
      <c r="D41" s="278">
        <f>'Key formula data'!$C$46</f>
        <v>52.321904287329666</v>
      </c>
      <c r="E41" s="278">
        <f>'Key formula data'!$C$46</f>
        <v>52.321904287329666</v>
      </c>
      <c r="F41" s="278">
        <f>'Key formula data'!$C$46</f>
        <v>52.321904287329666</v>
      </c>
      <c r="G41" s="278">
        <f>'Key formula data'!$C$46</f>
        <v>52.321904287329666</v>
      </c>
      <c r="H41" s="278">
        <f>'Key formula data'!$C$46</f>
        <v>52.321904287329666</v>
      </c>
      <c r="I41" s="281"/>
      <c r="J41" s="209">
        <f>H41/$H$40</f>
        <v>9.1292134831460661E-2</v>
      </c>
      <c r="K41" s="10"/>
      <c r="L41" s="10"/>
      <c r="M41" s="10"/>
      <c r="N41" s="10"/>
      <c r="O41" s="10"/>
      <c r="P41" s="10"/>
      <c r="Q41" s="11"/>
    </row>
    <row r="42" spans="1:17" x14ac:dyDescent="0.2">
      <c r="A42" s="182" t="s">
        <v>210</v>
      </c>
      <c r="B42" s="278">
        <f>'Key formula data'!$C$48</f>
        <v>169.0399984667574</v>
      </c>
      <c r="C42" s="278">
        <f>'Key formula data'!$C$48</f>
        <v>169.0399984667574</v>
      </c>
      <c r="D42" s="278">
        <f>'Key formula data'!$C$48</f>
        <v>169.0399984667574</v>
      </c>
      <c r="E42" s="278">
        <f>'Key formula data'!$C$48</f>
        <v>169.0399984667574</v>
      </c>
      <c r="F42" s="278">
        <f>'Key formula data'!$C$48</f>
        <v>169.0399984667574</v>
      </c>
      <c r="G42" s="278">
        <f>'Key formula data'!$C$48</f>
        <v>169.0399984667574</v>
      </c>
      <c r="H42" s="278">
        <f>'Key formula data'!$C$48</f>
        <v>169.0399984667574</v>
      </c>
      <c r="I42" s="281"/>
      <c r="J42" s="209">
        <f>H42/$H$40</f>
        <v>0.2949438202247191</v>
      </c>
      <c r="K42" s="10"/>
      <c r="L42" s="10"/>
      <c r="M42" s="10"/>
      <c r="N42" s="10"/>
      <c r="O42" s="10"/>
      <c r="P42" s="10"/>
      <c r="Q42" s="11"/>
    </row>
    <row r="43" spans="1:17" x14ac:dyDescent="0.2">
      <c r="A43" s="182" t="s">
        <v>197</v>
      </c>
      <c r="B43" s="278">
        <f>'Key formula data'!$C$52</f>
        <v>96.594284838147075</v>
      </c>
      <c r="C43" s="278">
        <f>'Key formula data'!$C$52</f>
        <v>96.594284838147075</v>
      </c>
      <c r="D43" s="278">
        <f>'Key formula data'!$C$52</f>
        <v>96.594284838147075</v>
      </c>
      <c r="E43" s="278">
        <f>'Key formula data'!$C$52</f>
        <v>96.594284838147075</v>
      </c>
      <c r="F43" s="278">
        <f>'Key formula data'!$C$52</f>
        <v>96.594284838147075</v>
      </c>
      <c r="G43" s="278">
        <f>'Key formula data'!$C$52</f>
        <v>96.594284838147075</v>
      </c>
      <c r="H43" s="278">
        <f>'Key formula data'!$C$52</f>
        <v>96.594284838147075</v>
      </c>
      <c r="I43" s="281"/>
      <c r="J43" s="209">
        <f>H43/$H$40</f>
        <v>0.16853932584269662</v>
      </c>
      <c r="K43" s="10"/>
      <c r="L43" s="10"/>
      <c r="M43" s="10"/>
      <c r="N43" s="10"/>
      <c r="O43" s="10"/>
      <c r="P43" s="10"/>
      <c r="Q43" s="11"/>
    </row>
    <row r="44" spans="1:17" x14ac:dyDescent="0.2">
      <c r="A44" s="191" t="s">
        <v>179</v>
      </c>
      <c r="B44" s="192">
        <f>H44*0.4</f>
        <v>272.11989957260863</v>
      </c>
      <c r="C44" s="192">
        <f>H44*0.5</f>
        <v>340.14987446576077</v>
      </c>
      <c r="D44" s="192">
        <f>H44*0.6</f>
        <v>408.17984935891292</v>
      </c>
      <c r="E44" s="192">
        <f>H44*0.7</f>
        <v>476.20982425206506</v>
      </c>
      <c r="F44" s="192">
        <f>H44*0.8</f>
        <v>544.23979914521726</v>
      </c>
      <c r="G44" s="192">
        <f>H44*0.9</f>
        <v>612.26977403836941</v>
      </c>
      <c r="H44" s="192">
        <f>'Key formula data'!E8</f>
        <v>680.29974893152155</v>
      </c>
      <c r="I44" s="280"/>
      <c r="J44" s="260"/>
      <c r="K44" s="10"/>
      <c r="L44" s="10"/>
      <c r="M44" s="10"/>
      <c r="N44" s="10"/>
      <c r="O44" s="10"/>
      <c r="P44" s="10"/>
      <c r="Q44" s="11"/>
    </row>
    <row r="45" spans="1:17" x14ac:dyDescent="0.2">
      <c r="A45" s="182" t="str">
        <f>A32</f>
        <v>30% Lone parent median income</v>
      </c>
      <c r="B45" s="278">
        <f>'Key formula data'!$C$46</f>
        <v>52.321904287329666</v>
      </c>
      <c r="C45" s="278">
        <f>'Key formula data'!$C$46</f>
        <v>52.321904287329666</v>
      </c>
      <c r="D45" s="278">
        <f>'Key formula data'!$C$46</f>
        <v>52.321904287329666</v>
      </c>
      <c r="E45" s="278">
        <f>'Key formula data'!$C$46</f>
        <v>52.321904287329666</v>
      </c>
      <c r="F45" s="278">
        <f>'Key formula data'!$C$46</f>
        <v>52.321904287329666</v>
      </c>
      <c r="G45" s="278">
        <f>'Key formula data'!$C$46</f>
        <v>52.321904287329666</v>
      </c>
      <c r="H45" s="278">
        <f>'Key formula data'!$C$46</f>
        <v>52.321904287329666</v>
      </c>
      <c r="I45" s="281"/>
      <c r="J45" s="209">
        <f>H45/$H$44</f>
        <v>7.691007437457742E-2</v>
      </c>
      <c r="K45" s="10"/>
      <c r="L45" s="10"/>
      <c r="M45" s="10"/>
      <c r="N45" s="10"/>
      <c r="O45" s="10"/>
      <c r="P45" s="10"/>
      <c r="Q45" s="11"/>
    </row>
    <row r="46" spans="1:17" x14ac:dyDescent="0.2">
      <c r="A46" s="182" t="str">
        <f>A37</f>
        <v>30% Adult couple with children median income</v>
      </c>
      <c r="B46" s="278">
        <f>'Key formula data'!$C$48</f>
        <v>169.0399984667574</v>
      </c>
      <c r="C46" s="278">
        <f>'Key formula data'!$C$48</f>
        <v>169.0399984667574</v>
      </c>
      <c r="D46" s="278">
        <f>'Key formula data'!$C$48</f>
        <v>169.0399984667574</v>
      </c>
      <c r="E46" s="278">
        <f>'Key formula data'!$C$48</f>
        <v>169.0399984667574</v>
      </c>
      <c r="F46" s="278">
        <f>'Key formula data'!$C$48</f>
        <v>169.0399984667574</v>
      </c>
      <c r="G46" s="278">
        <f>'Key formula data'!$C$48</f>
        <v>169.0399984667574</v>
      </c>
      <c r="H46" s="278">
        <f>'Key formula data'!$C$48</f>
        <v>169.0399984667574</v>
      </c>
      <c r="I46" s="281"/>
      <c r="J46" s="209">
        <f>H46/$H$44</f>
        <v>0.24847870182555784</v>
      </c>
      <c r="K46" s="10"/>
      <c r="L46" s="10"/>
      <c r="M46" s="10"/>
      <c r="N46" s="10"/>
      <c r="O46" s="10"/>
      <c r="P46" s="10"/>
      <c r="Q46" s="11"/>
    </row>
    <row r="47" spans="1:17" x14ac:dyDescent="0.2">
      <c r="A47" s="182" t="s">
        <v>197</v>
      </c>
      <c r="B47" s="278">
        <f>'Key formula data'!$C$52</f>
        <v>96.594284838147075</v>
      </c>
      <c r="C47" s="278">
        <f>'Key formula data'!$C$52</f>
        <v>96.594284838147075</v>
      </c>
      <c r="D47" s="278">
        <f>'Key formula data'!$C$52</f>
        <v>96.594284838147075</v>
      </c>
      <c r="E47" s="278">
        <f>'Key formula data'!$C$52</f>
        <v>96.594284838147075</v>
      </c>
      <c r="F47" s="278">
        <f>'Key formula data'!$C$52</f>
        <v>96.594284838147075</v>
      </c>
      <c r="G47" s="278">
        <f>'Key formula data'!$C$52</f>
        <v>96.594284838147075</v>
      </c>
      <c r="H47" s="278">
        <f>'Key formula data'!$C$52</f>
        <v>96.594284838147075</v>
      </c>
      <c r="I47" s="281"/>
      <c r="J47" s="209">
        <f>H47/$H$44</f>
        <v>0.14198782961460446</v>
      </c>
      <c r="K47" s="10"/>
      <c r="L47" s="10"/>
      <c r="M47" s="10"/>
      <c r="N47" s="10"/>
      <c r="O47" s="10"/>
      <c r="P47" s="10"/>
      <c r="Q47" s="11"/>
    </row>
    <row r="48" spans="1:17" ht="13.5" thickBot="1" x14ac:dyDescent="0.25">
      <c r="A48" s="114"/>
      <c r="B48" s="13"/>
      <c r="C48" s="13"/>
      <c r="D48" s="13"/>
      <c r="E48" s="13"/>
      <c r="F48" s="13"/>
      <c r="G48" s="13"/>
      <c r="H48" s="13"/>
      <c r="I48" s="13"/>
      <c r="J48" s="13"/>
      <c r="K48" s="13"/>
      <c r="L48" s="13"/>
      <c r="M48" s="13"/>
      <c r="N48" s="13"/>
      <c r="O48" s="13"/>
      <c r="P48" s="13"/>
      <c r="Q48" s="14"/>
    </row>
    <row r="49" spans="1:17" ht="39.75" customHeight="1" x14ac:dyDescent="0.2">
      <c r="A49" s="10"/>
      <c r="B49" s="10"/>
      <c r="C49" s="10"/>
      <c r="D49" s="10"/>
      <c r="E49" s="10"/>
      <c r="F49" s="10"/>
      <c r="G49" s="10"/>
      <c r="H49" s="10"/>
      <c r="I49" s="10"/>
      <c r="J49" s="10"/>
      <c r="K49" s="10"/>
      <c r="L49" s="10"/>
      <c r="M49" s="10"/>
      <c r="N49" s="10"/>
      <c r="O49" s="10"/>
      <c r="P49" s="10"/>
      <c r="Q49" s="10"/>
    </row>
    <row r="50" spans="1:17" ht="18" x14ac:dyDescent="0.25">
      <c r="A50" s="10"/>
      <c r="B50" s="10"/>
      <c r="C50" s="10"/>
      <c r="D50" s="10"/>
      <c r="E50" s="10"/>
      <c r="F50" s="10"/>
      <c r="G50" s="10"/>
      <c r="H50" s="10"/>
      <c r="I50" s="10"/>
      <c r="J50" s="10"/>
      <c r="K50" s="183"/>
      <c r="L50" s="10"/>
      <c r="M50" s="10"/>
      <c r="N50" s="10"/>
      <c r="O50" s="10"/>
      <c r="P50" s="10"/>
      <c r="Q50" s="10"/>
    </row>
    <row r="51" spans="1:17" x14ac:dyDescent="0.2">
      <c r="A51" s="10"/>
      <c r="B51" s="10"/>
      <c r="C51" s="10"/>
      <c r="D51" s="10"/>
      <c r="E51" s="10"/>
      <c r="F51" s="10"/>
      <c r="G51" s="10"/>
      <c r="H51" s="10"/>
      <c r="I51" s="10"/>
      <c r="J51" s="10"/>
      <c r="K51" s="10"/>
      <c r="L51" s="10"/>
      <c r="M51" s="10"/>
      <c r="N51" s="10"/>
      <c r="O51" s="10"/>
      <c r="P51" s="10"/>
      <c r="Q51" s="10"/>
    </row>
    <row r="52" spans="1:17" x14ac:dyDescent="0.2">
      <c r="A52" s="10"/>
      <c r="B52" s="10"/>
      <c r="C52" s="10"/>
      <c r="D52" s="10"/>
      <c r="E52" s="10"/>
      <c r="F52" s="10"/>
      <c r="G52" s="10"/>
      <c r="H52" s="10"/>
      <c r="I52" s="10"/>
      <c r="J52" s="10"/>
      <c r="K52" s="10"/>
      <c r="L52" s="10"/>
      <c r="M52" s="10"/>
      <c r="N52" s="10"/>
      <c r="O52" s="10"/>
      <c r="P52" s="10"/>
      <c r="Q52" s="10"/>
    </row>
    <row r="53" spans="1:17" x14ac:dyDescent="0.2">
      <c r="A53" s="10"/>
      <c r="B53" s="10"/>
      <c r="C53" s="10"/>
      <c r="D53" s="10"/>
      <c r="E53" s="10"/>
      <c r="F53" s="10"/>
      <c r="G53" s="10"/>
      <c r="H53" s="10"/>
      <c r="I53" s="10"/>
      <c r="J53" s="10"/>
      <c r="K53" s="10"/>
      <c r="L53" s="10"/>
      <c r="M53" s="10"/>
      <c r="N53" s="10"/>
      <c r="O53" s="10"/>
      <c r="P53" s="10"/>
      <c r="Q53" s="10"/>
    </row>
    <row r="54" spans="1:17" x14ac:dyDescent="0.2">
      <c r="A54" s="10"/>
      <c r="B54" s="10"/>
      <c r="C54" s="10"/>
      <c r="D54" s="10"/>
      <c r="E54" s="10"/>
      <c r="F54" s="10"/>
      <c r="G54" s="10"/>
      <c r="H54" s="10"/>
      <c r="I54" s="10"/>
      <c r="J54" s="10"/>
      <c r="K54" s="10"/>
      <c r="L54" s="10"/>
      <c r="M54" s="10"/>
      <c r="N54" s="10"/>
      <c r="O54" s="10"/>
      <c r="P54" s="10"/>
      <c r="Q54" s="10"/>
    </row>
    <row r="55" spans="1:17" x14ac:dyDescent="0.2">
      <c r="A55" s="10"/>
      <c r="B55" s="10"/>
      <c r="C55" s="10"/>
      <c r="D55" s="10"/>
      <c r="E55" s="10"/>
      <c r="F55" s="10"/>
      <c r="G55" s="10"/>
      <c r="H55" s="10"/>
      <c r="I55" s="10"/>
      <c r="J55" s="10"/>
      <c r="K55" s="10"/>
      <c r="L55" s="10"/>
      <c r="M55" s="10"/>
      <c r="N55" s="10"/>
      <c r="O55" s="10"/>
      <c r="P55" s="10"/>
      <c r="Q55" s="10"/>
    </row>
    <row r="56" spans="1:17" x14ac:dyDescent="0.2">
      <c r="A56" s="10"/>
      <c r="B56" s="10"/>
      <c r="C56" s="10"/>
      <c r="D56" s="10"/>
      <c r="E56" s="10"/>
      <c r="F56" s="10"/>
      <c r="G56" s="10"/>
      <c r="H56" s="10"/>
      <c r="I56" s="10"/>
      <c r="J56" s="10"/>
      <c r="K56" s="10"/>
      <c r="L56" s="10"/>
      <c r="M56" s="10"/>
      <c r="N56" s="10"/>
      <c r="O56" s="10"/>
      <c r="P56" s="10"/>
      <c r="Q56" s="10"/>
    </row>
    <row r="57" spans="1:17" x14ac:dyDescent="0.2">
      <c r="A57" s="10"/>
      <c r="B57" s="10"/>
      <c r="C57" s="10"/>
      <c r="D57" s="10"/>
      <c r="E57" s="10"/>
      <c r="F57" s="10"/>
      <c r="G57" s="10"/>
      <c r="H57" s="10"/>
      <c r="I57" s="10"/>
      <c r="J57" s="10"/>
      <c r="K57" s="10"/>
      <c r="L57" s="10"/>
      <c r="M57" s="10"/>
      <c r="N57" s="10"/>
      <c r="O57" s="10"/>
      <c r="P57" s="10"/>
      <c r="Q57" s="10"/>
    </row>
    <row r="58" spans="1:17" x14ac:dyDescent="0.2">
      <c r="A58" s="10"/>
      <c r="B58" s="10"/>
      <c r="C58" s="10"/>
      <c r="D58" s="10"/>
      <c r="E58" s="10"/>
      <c r="F58" s="10"/>
      <c r="G58" s="10"/>
      <c r="H58" s="10"/>
      <c r="I58" s="10"/>
      <c r="J58" s="10"/>
      <c r="K58" s="10"/>
      <c r="L58" s="10"/>
      <c r="M58" s="10"/>
      <c r="N58" s="10"/>
      <c r="O58" s="10"/>
      <c r="P58" s="10"/>
      <c r="Q58" s="10"/>
    </row>
    <row r="59" spans="1:17" x14ac:dyDescent="0.2">
      <c r="A59" s="10"/>
      <c r="B59" s="10"/>
      <c r="C59" s="10"/>
      <c r="D59" s="10"/>
      <c r="E59" s="10"/>
      <c r="F59" s="10"/>
      <c r="G59" s="10"/>
      <c r="H59" s="10"/>
      <c r="I59" s="10"/>
      <c r="J59" s="10"/>
      <c r="K59" s="10"/>
      <c r="L59" s="10"/>
      <c r="M59" s="10"/>
      <c r="N59" s="10"/>
      <c r="O59" s="10"/>
      <c r="P59" s="10"/>
      <c r="Q59" s="10"/>
    </row>
    <row r="60" spans="1:17" x14ac:dyDescent="0.2">
      <c r="A60" s="10"/>
      <c r="B60" s="10"/>
      <c r="C60" s="10"/>
      <c r="D60" s="10"/>
      <c r="E60" s="10"/>
      <c r="F60" s="10"/>
      <c r="G60" s="10"/>
      <c r="H60" s="10"/>
      <c r="I60" s="10"/>
      <c r="J60" s="10"/>
      <c r="K60" s="10"/>
      <c r="L60" s="10"/>
      <c r="M60" s="10"/>
      <c r="N60" s="10"/>
      <c r="O60" s="10"/>
      <c r="P60" s="10"/>
      <c r="Q60" s="10"/>
    </row>
    <row r="61" spans="1:17" x14ac:dyDescent="0.2">
      <c r="A61" s="10"/>
      <c r="B61" s="10"/>
      <c r="C61" s="10"/>
      <c r="D61" s="10"/>
      <c r="E61" s="10"/>
      <c r="F61" s="10"/>
      <c r="G61" s="10"/>
      <c r="H61" s="10"/>
      <c r="I61" s="10"/>
      <c r="J61" s="10"/>
      <c r="K61" s="10"/>
      <c r="L61" s="10"/>
      <c r="M61" s="10"/>
      <c r="N61" s="10"/>
      <c r="O61" s="10"/>
      <c r="P61" s="10"/>
      <c r="Q61" s="10"/>
    </row>
    <row r="62" spans="1:17" x14ac:dyDescent="0.2">
      <c r="A62" s="10"/>
      <c r="B62" s="10"/>
      <c r="C62" s="10"/>
      <c r="D62" s="10"/>
      <c r="E62" s="10"/>
      <c r="F62" s="10"/>
      <c r="G62" s="10"/>
      <c r="H62" s="10"/>
      <c r="I62" s="10"/>
      <c r="J62" s="10"/>
      <c r="K62" s="10"/>
      <c r="L62" s="10"/>
      <c r="M62" s="10"/>
      <c r="N62" s="10"/>
      <c r="O62" s="10"/>
      <c r="P62" s="10"/>
      <c r="Q62" s="10"/>
    </row>
    <row r="63" spans="1:17" x14ac:dyDescent="0.2">
      <c r="A63" s="10"/>
      <c r="B63" s="10"/>
      <c r="C63" s="10"/>
      <c r="D63" s="10"/>
      <c r="E63" s="10"/>
      <c r="F63" s="10"/>
      <c r="G63" s="10"/>
      <c r="H63" s="10"/>
      <c r="I63" s="10"/>
      <c r="J63" s="10"/>
      <c r="K63" s="10"/>
      <c r="L63" s="10"/>
      <c r="M63" s="10"/>
      <c r="N63" s="10"/>
      <c r="O63" s="10"/>
      <c r="P63" s="10"/>
      <c r="Q63" s="10"/>
    </row>
    <row r="64" spans="1:17" x14ac:dyDescent="0.2">
      <c r="A64" s="10"/>
      <c r="B64" s="10"/>
      <c r="C64" s="10"/>
      <c r="D64" s="10"/>
      <c r="E64" s="10"/>
      <c r="F64" s="10"/>
      <c r="G64" s="10"/>
      <c r="H64" s="10"/>
      <c r="I64" s="10"/>
      <c r="J64" s="10"/>
      <c r="K64" s="10"/>
      <c r="L64" s="10"/>
      <c r="M64" s="10"/>
      <c r="N64" s="10"/>
      <c r="O64" s="10"/>
      <c r="P64" s="10"/>
      <c r="Q64" s="10"/>
    </row>
    <row r="65" spans="1:17" x14ac:dyDescent="0.2">
      <c r="A65" s="10"/>
      <c r="B65" s="10"/>
      <c r="C65" s="10"/>
      <c r="D65" s="10"/>
      <c r="E65" s="10"/>
      <c r="F65" s="10"/>
      <c r="G65" s="10"/>
      <c r="H65" s="10"/>
      <c r="I65" s="10"/>
      <c r="J65" s="10"/>
      <c r="K65" s="10"/>
      <c r="L65" s="10"/>
      <c r="M65" s="10"/>
      <c r="N65" s="10"/>
      <c r="O65" s="10"/>
      <c r="P65" s="10"/>
      <c r="Q65" s="10"/>
    </row>
    <row r="66" spans="1:17" x14ac:dyDescent="0.2">
      <c r="A66" s="10"/>
      <c r="B66" s="10"/>
      <c r="C66" s="10"/>
      <c r="D66" s="10"/>
      <c r="E66" s="10"/>
      <c r="F66" s="10"/>
      <c r="G66" s="10"/>
      <c r="H66" s="10"/>
      <c r="I66" s="10"/>
      <c r="J66" s="10"/>
      <c r="K66" s="10"/>
      <c r="L66" s="10"/>
      <c r="M66" s="10"/>
      <c r="N66" s="10"/>
      <c r="O66" s="10"/>
      <c r="P66" s="10"/>
      <c r="Q66" s="10"/>
    </row>
    <row r="67" spans="1:17" x14ac:dyDescent="0.2">
      <c r="A67" s="10"/>
      <c r="B67" s="10"/>
      <c r="C67" s="10"/>
      <c r="D67" s="10"/>
      <c r="E67" s="10"/>
      <c r="F67" s="10"/>
      <c r="G67" s="10"/>
      <c r="H67" s="10"/>
      <c r="I67" s="10"/>
      <c r="J67" s="10"/>
      <c r="K67" s="10"/>
      <c r="L67" s="10"/>
      <c r="M67" s="10"/>
      <c r="N67" s="10"/>
      <c r="O67" s="10"/>
      <c r="P67" s="10"/>
      <c r="Q67" s="10"/>
    </row>
    <row r="68" spans="1:17" x14ac:dyDescent="0.2">
      <c r="A68" s="10"/>
      <c r="B68" s="10"/>
      <c r="C68" s="10"/>
      <c r="D68" s="10"/>
      <c r="E68" s="10"/>
      <c r="F68" s="10"/>
      <c r="G68" s="10"/>
      <c r="H68" s="10"/>
      <c r="I68" s="10"/>
      <c r="J68" s="10"/>
      <c r="K68" s="10"/>
      <c r="L68" s="10"/>
      <c r="M68" s="10"/>
      <c r="N68" s="10"/>
      <c r="O68" s="10"/>
      <c r="P68" s="10"/>
      <c r="Q68" s="10"/>
    </row>
    <row r="69" spans="1:17" x14ac:dyDescent="0.2">
      <c r="A69" s="10"/>
      <c r="B69" s="10"/>
      <c r="C69" s="10"/>
      <c r="D69" s="10"/>
      <c r="E69" s="10"/>
      <c r="F69" s="10"/>
      <c r="G69" s="10"/>
      <c r="H69" s="10"/>
      <c r="I69" s="10"/>
      <c r="J69" s="10"/>
      <c r="K69" s="10"/>
      <c r="L69" s="10"/>
      <c r="M69" s="10"/>
      <c r="N69" s="10"/>
      <c r="O69" s="10"/>
      <c r="P69" s="10"/>
      <c r="Q69" s="10"/>
    </row>
    <row r="70" spans="1:17" x14ac:dyDescent="0.2">
      <c r="A70" s="113"/>
      <c r="B70" s="214"/>
      <c r="C70" s="214"/>
      <c r="D70" s="214"/>
      <c r="E70" s="214"/>
      <c r="F70" s="214"/>
      <c r="G70" s="214"/>
      <c r="H70" s="214"/>
      <c r="I70" s="214"/>
      <c r="J70" s="214"/>
      <c r="K70" s="214"/>
      <c r="L70" s="214"/>
      <c r="M70" s="214"/>
      <c r="N70" s="214"/>
      <c r="O70" s="214"/>
      <c r="P70" s="214"/>
      <c r="Q70" s="214"/>
    </row>
    <row r="71" spans="1:17" x14ac:dyDescent="0.2">
      <c r="A71" s="113"/>
      <c r="B71" s="214"/>
      <c r="C71" s="214"/>
      <c r="D71" s="214"/>
      <c r="E71" s="214"/>
      <c r="F71" s="214"/>
      <c r="G71" s="214"/>
      <c r="H71" s="214"/>
      <c r="I71" s="214"/>
      <c r="J71" s="214"/>
      <c r="K71" s="214"/>
      <c r="L71" s="214"/>
      <c r="M71" s="214"/>
      <c r="N71" s="214"/>
      <c r="O71" s="214"/>
      <c r="P71" s="214"/>
      <c r="Q71" s="214"/>
    </row>
    <row r="72" spans="1:17" x14ac:dyDescent="0.2">
      <c r="A72" s="113"/>
      <c r="B72" s="214"/>
      <c r="C72" s="214"/>
      <c r="D72" s="214"/>
      <c r="E72" s="214"/>
      <c r="F72" s="214"/>
      <c r="G72" s="214"/>
      <c r="H72" s="214"/>
      <c r="I72" s="214"/>
      <c r="J72" s="214"/>
      <c r="K72" s="214"/>
      <c r="L72" s="214"/>
      <c r="M72" s="214"/>
      <c r="N72" s="214"/>
      <c r="O72" s="214"/>
      <c r="P72" s="214"/>
      <c r="Q72" s="214"/>
    </row>
    <row r="73" spans="1:17" x14ac:dyDescent="0.2">
      <c r="A73" s="113"/>
      <c r="B73" s="214"/>
      <c r="C73" s="214"/>
      <c r="D73" s="214"/>
      <c r="E73" s="214"/>
      <c r="F73" s="214"/>
      <c r="G73" s="214"/>
      <c r="H73" s="214"/>
      <c r="I73" s="214"/>
      <c r="J73" s="214"/>
      <c r="K73" s="214"/>
      <c r="L73" s="214"/>
      <c r="M73" s="214"/>
      <c r="N73" s="214"/>
      <c r="O73" s="214"/>
      <c r="P73" s="214"/>
      <c r="Q73" s="214"/>
    </row>
    <row r="74" spans="1:17" x14ac:dyDescent="0.2">
      <c r="A74" s="113"/>
      <c r="B74" s="214"/>
      <c r="C74" s="214"/>
      <c r="D74" s="214"/>
      <c r="E74" s="214"/>
      <c r="F74" s="214"/>
      <c r="G74" s="214"/>
      <c r="H74" s="214"/>
      <c r="I74" s="214"/>
      <c r="J74" s="214"/>
      <c r="K74" s="214"/>
      <c r="L74" s="214"/>
      <c r="M74" s="214"/>
      <c r="N74" s="214"/>
      <c r="O74" s="214"/>
      <c r="P74" s="214"/>
      <c r="Q74" s="214"/>
    </row>
    <row r="75" spans="1:17" x14ac:dyDescent="0.2">
      <c r="A75" s="113"/>
      <c r="B75" s="214"/>
      <c r="C75" s="214"/>
      <c r="D75" s="214"/>
      <c r="E75" s="214"/>
      <c r="F75" s="214"/>
      <c r="G75" s="214"/>
      <c r="H75" s="214"/>
      <c r="I75" s="214"/>
      <c r="J75" s="214"/>
      <c r="K75" s="214"/>
      <c r="L75" s="214"/>
      <c r="M75" s="214"/>
      <c r="N75" s="214"/>
      <c r="O75" s="214"/>
      <c r="P75" s="214"/>
      <c r="Q75" s="214"/>
    </row>
    <row r="76" spans="1:17" x14ac:dyDescent="0.2">
      <c r="A76" s="113"/>
      <c r="B76" s="214"/>
      <c r="C76" s="214"/>
      <c r="D76" s="214"/>
      <c r="E76" s="214"/>
      <c r="F76" s="214"/>
      <c r="G76" s="214"/>
      <c r="H76" s="214"/>
      <c r="I76" s="214"/>
      <c r="J76" s="214"/>
      <c r="K76" s="214"/>
      <c r="L76" s="214"/>
      <c r="M76" s="214"/>
      <c r="N76" s="214"/>
      <c r="O76" s="214"/>
      <c r="P76" s="214"/>
      <c r="Q76" s="214"/>
    </row>
    <row r="77" spans="1:17" x14ac:dyDescent="0.2">
      <c r="A77" s="113"/>
      <c r="B77" s="214"/>
      <c r="C77" s="214"/>
      <c r="D77" s="214"/>
      <c r="E77" s="214"/>
      <c r="F77" s="214"/>
      <c r="G77" s="214"/>
      <c r="H77" s="214"/>
      <c r="I77" s="214"/>
      <c r="J77" s="214"/>
      <c r="K77" s="214"/>
      <c r="L77" s="214"/>
      <c r="M77" s="214"/>
      <c r="N77" s="214"/>
      <c r="O77" s="214"/>
      <c r="P77" s="214"/>
      <c r="Q77" s="214"/>
    </row>
    <row r="78" spans="1:17" x14ac:dyDescent="0.2">
      <c r="A78" s="113"/>
      <c r="B78" s="214"/>
      <c r="C78" s="214"/>
      <c r="D78" s="214"/>
      <c r="E78" s="214"/>
      <c r="F78" s="214"/>
      <c r="G78" s="214"/>
      <c r="H78" s="214"/>
      <c r="I78" s="214"/>
      <c r="J78" s="214"/>
      <c r="K78" s="214"/>
      <c r="L78" s="214"/>
      <c r="M78" s="214"/>
      <c r="N78" s="214"/>
      <c r="O78" s="214"/>
      <c r="P78" s="214"/>
      <c r="Q78" s="214"/>
    </row>
    <row r="79" spans="1:17" x14ac:dyDescent="0.2">
      <c r="A79" s="113"/>
      <c r="B79" s="214"/>
      <c r="C79" s="214"/>
      <c r="D79" s="214"/>
      <c r="E79" s="214"/>
      <c r="F79" s="214"/>
      <c r="G79" s="214"/>
      <c r="H79" s="214"/>
      <c r="I79" s="214"/>
      <c r="J79" s="214"/>
      <c r="K79" s="214"/>
      <c r="L79" s="214"/>
      <c r="M79" s="214"/>
      <c r="N79" s="214"/>
      <c r="O79" s="214"/>
      <c r="P79" s="214"/>
      <c r="Q79" s="214"/>
    </row>
    <row r="80" spans="1:17" x14ac:dyDescent="0.2">
      <c r="A80" s="113"/>
      <c r="B80" s="214"/>
      <c r="C80" s="214"/>
      <c r="D80" s="214"/>
      <c r="E80" s="214"/>
      <c r="F80" s="214"/>
      <c r="G80" s="214"/>
      <c r="H80" s="214"/>
      <c r="I80" s="214"/>
      <c r="J80" s="214"/>
      <c r="K80" s="214"/>
      <c r="L80" s="214"/>
      <c r="M80" s="214"/>
      <c r="N80" s="214"/>
      <c r="O80" s="214"/>
      <c r="P80" s="214"/>
      <c r="Q80" s="214"/>
    </row>
    <row r="81" spans="1:17" x14ac:dyDescent="0.2">
      <c r="A81" s="113"/>
      <c r="B81" s="214"/>
      <c r="C81" s="214"/>
      <c r="D81" s="214"/>
      <c r="E81" s="214"/>
      <c r="F81" s="214"/>
      <c r="G81" s="214"/>
      <c r="H81" s="214"/>
      <c r="I81" s="214"/>
      <c r="J81" s="214"/>
      <c r="K81" s="214"/>
      <c r="L81" s="214"/>
      <c r="M81" s="214"/>
      <c r="N81" s="214"/>
      <c r="O81" s="214"/>
      <c r="P81" s="214"/>
      <c r="Q81" s="214"/>
    </row>
    <row r="82" spans="1:17" x14ac:dyDescent="0.2">
      <c r="A82" s="113"/>
      <c r="B82" s="214"/>
      <c r="C82" s="214"/>
      <c r="D82" s="214"/>
      <c r="E82" s="214"/>
      <c r="F82" s="214"/>
      <c r="G82" s="214"/>
      <c r="H82" s="214"/>
      <c r="I82" s="214"/>
      <c r="J82" s="214"/>
      <c r="K82" s="214"/>
      <c r="L82" s="214"/>
      <c r="M82" s="214"/>
      <c r="N82" s="214"/>
      <c r="O82" s="214"/>
      <c r="P82" s="214"/>
      <c r="Q82" s="214"/>
    </row>
    <row r="83" spans="1:17" x14ac:dyDescent="0.2">
      <c r="A83" s="113"/>
      <c r="B83" s="214"/>
      <c r="C83" s="214"/>
      <c r="D83" s="214"/>
      <c r="E83" s="214"/>
      <c r="F83" s="214"/>
      <c r="G83" s="214"/>
      <c r="H83" s="214"/>
      <c r="I83" s="214"/>
      <c r="J83" s="214"/>
      <c r="K83" s="214"/>
      <c r="L83" s="214"/>
      <c r="M83" s="214"/>
      <c r="N83" s="214"/>
      <c r="O83" s="214"/>
      <c r="P83" s="214"/>
      <c r="Q83" s="214"/>
    </row>
    <row r="84" spans="1:17" x14ac:dyDescent="0.2">
      <c r="A84" s="113"/>
      <c r="B84" s="214"/>
      <c r="C84" s="214"/>
      <c r="D84" s="214"/>
      <c r="E84" s="214"/>
      <c r="F84" s="214"/>
      <c r="G84" s="214"/>
      <c r="H84" s="214"/>
      <c r="I84" s="214"/>
      <c r="J84" s="214"/>
      <c r="K84" s="214"/>
      <c r="L84" s="214"/>
      <c r="M84" s="214"/>
      <c r="N84" s="214"/>
      <c r="O84" s="214"/>
      <c r="P84" s="214"/>
      <c r="Q84" s="214"/>
    </row>
    <row r="85" spans="1:17" x14ac:dyDescent="0.2">
      <c r="A85" s="113"/>
      <c r="B85" s="214"/>
      <c r="C85" s="214"/>
      <c r="D85" s="214"/>
      <c r="E85" s="214"/>
      <c r="F85" s="214"/>
      <c r="G85" s="214"/>
      <c r="H85" s="214"/>
      <c r="I85" s="214"/>
      <c r="J85" s="214"/>
      <c r="K85" s="214"/>
      <c r="L85" s="214"/>
      <c r="M85" s="214"/>
      <c r="N85" s="214"/>
      <c r="O85" s="214"/>
      <c r="P85" s="214"/>
      <c r="Q85" s="214"/>
    </row>
    <row r="86" spans="1:17" x14ac:dyDescent="0.2">
      <c r="A86" s="113"/>
      <c r="B86" s="214"/>
      <c r="C86" s="214"/>
      <c r="D86" s="214"/>
      <c r="E86" s="214"/>
      <c r="F86" s="214"/>
      <c r="G86" s="214"/>
      <c r="H86" s="214"/>
      <c r="I86" s="214"/>
      <c r="J86" s="214"/>
      <c r="K86" s="214"/>
      <c r="L86" s="214"/>
      <c r="M86" s="214"/>
      <c r="N86" s="214"/>
      <c r="O86" s="214"/>
      <c r="P86" s="214"/>
      <c r="Q86" s="214"/>
    </row>
    <row r="87" spans="1:17" x14ac:dyDescent="0.2">
      <c r="A87" s="113"/>
      <c r="B87" s="214"/>
      <c r="C87" s="214"/>
      <c r="D87" s="214"/>
      <c r="E87" s="214"/>
      <c r="F87" s="214"/>
      <c r="G87" s="214"/>
      <c r="H87" s="214"/>
      <c r="I87" s="214"/>
      <c r="J87" s="214"/>
      <c r="K87" s="214"/>
      <c r="L87" s="214"/>
      <c r="M87" s="214"/>
      <c r="N87" s="214"/>
      <c r="O87" s="214"/>
      <c r="P87" s="214"/>
      <c r="Q87" s="214"/>
    </row>
    <row r="88" spans="1:17" x14ac:dyDescent="0.2">
      <c r="A88" s="113"/>
      <c r="B88" s="214"/>
      <c r="C88" s="214"/>
      <c r="D88" s="214"/>
      <c r="E88" s="214"/>
      <c r="F88" s="214"/>
      <c r="G88" s="214"/>
      <c r="H88" s="214"/>
      <c r="I88" s="214"/>
      <c r="J88" s="214"/>
      <c r="K88" s="214"/>
      <c r="L88" s="214"/>
      <c r="M88" s="214"/>
      <c r="N88" s="214"/>
      <c r="O88" s="214"/>
      <c r="P88" s="214"/>
      <c r="Q88" s="214"/>
    </row>
    <row r="89" spans="1:17" x14ac:dyDescent="0.2">
      <c r="A89" s="113"/>
      <c r="B89" s="214"/>
      <c r="C89" s="214"/>
      <c r="D89" s="214"/>
      <c r="E89" s="214"/>
      <c r="F89" s="214"/>
      <c r="G89" s="214"/>
      <c r="H89" s="214"/>
      <c r="I89" s="214"/>
      <c r="J89" s="214"/>
      <c r="K89" s="214"/>
      <c r="L89" s="214"/>
      <c r="M89" s="214"/>
      <c r="N89" s="214"/>
      <c r="O89" s="214"/>
      <c r="P89" s="214"/>
      <c r="Q89" s="214"/>
    </row>
    <row r="90" spans="1:17" x14ac:dyDescent="0.2">
      <c r="A90" s="113"/>
      <c r="B90" s="214"/>
      <c r="C90" s="214"/>
      <c r="D90" s="214"/>
      <c r="E90" s="214"/>
      <c r="F90" s="214"/>
      <c r="G90" s="214"/>
      <c r="H90" s="214"/>
      <c r="I90" s="214"/>
      <c r="J90" s="214"/>
      <c r="K90" s="214"/>
      <c r="L90" s="214"/>
      <c r="M90" s="214"/>
      <c r="N90" s="214"/>
      <c r="O90" s="214"/>
      <c r="P90" s="214"/>
      <c r="Q90" s="214"/>
    </row>
    <row r="91" spans="1:17" x14ac:dyDescent="0.2">
      <c r="A91" s="113"/>
      <c r="B91" s="214"/>
      <c r="C91" s="214"/>
      <c r="D91" s="214"/>
      <c r="E91" s="214"/>
      <c r="F91" s="214"/>
      <c r="G91" s="214"/>
      <c r="H91" s="214"/>
      <c r="I91" s="214"/>
      <c r="J91" s="214"/>
      <c r="K91" s="214"/>
      <c r="L91" s="214"/>
      <c r="M91" s="214"/>
      <c r="N91" s="214"/>
      <c r="O91" s="214"/>
      <c r="P91" s="214"/>
      <c r="Q91" s="214"/>
    </row>
    <row r="92" spans="1:17" x14ac:dyDescent="0.2">
      <c r="A92" s="113"/>
      <c r="B92" s="214"/>
      <c r="C92" s="214"/>
      <c r="D92" s="214"/>
      <c r="E92" s="214"/>
      <c r="F92" s="214"/>
      <c r="G92" s="214"/>
      <c r="H92" s="214"/>
      <c r="I92" s="214"/>
      <c r="J92" s="214"/>
      <c r="K92" s="214"/>
      <c r="L92" s="214"/>
      <c r="M92" s="214"/>
      <c r="N92" s="214"/>
      <c r="O92" s="214"/>
      <c r="P92" s="214"/>
      <c r="Q92" s="214"/>
    </row>
    <row r="93" spans="1:17" x14ac:dyDescent="0.2">
      <c r="A93" s="113"/>
      <c r="B93" s="214"/>
      <c r="C93" s="214"/>
      <c r="D93" s="214"/>
      <c r="E93" s="214"/>
      <c r="F93" s="214"/>
      <c r="G93" s="214"/>
      <c r="H93" s="214"/>
      <c r="I93" s="214"/>
      <c r="J93" s="214"/>
      <c r="K93" s="214"/>
      <c r="L93" s="214"/>
      <c r="M93" s="214"/>
      <c r="N93" s="214"/>
      <c r="O93" s="214"/>
      <c r="P93" s="214"/>
      <c r="Q93" s="214"/>
    </row>
    <row r="94" spans="1:17" x14ac:dyDescent="0.2">
      <c r="A94" s="113"/>
      <c r="B94" s="214"/>
      <c r="C94" s="214"/>
      <c r="D94" s="214"/>
      <c r="E94" s="214"/>
      <c r="F94" s="214"/>
      <c r="G94" s="214"/>
      <c r="H94" s="214"/>
      <c r="I94" s="214"/>
      <c r="J94" s="214"/>
      <c r="K94" s="214"/>
      <c r="L94" s="214"/>
      <c r="M94" s="214"/>
      <c r="N94" s="214"/>
      <c r="O94" s="214"/>
      <c r="P94" s="214"/>
      <c r="Q94" s="214"/>
    </row>
    <row r="95" spans="1:17" x14ac:dyDescent="0.2">
      <c r="A95" s="113"/>
      <c r="B95" s="214"/>
      <c r="C95" s="214"/>
      <c r="D95" s="214"/>
      <c r="E95" s="214"/>
      <c r="F95" s="214"/>
      <c r="G95" s="214"/>
      <c r="H95" s="214"/>
      <c r="I95" s="214"/>
      <c r="J95" s="214"/>
      <c r="K95" s="214"/>
      <c r="L95" s="214"/>
      <c r="M95" s="214"/>
      <c r="N95" s="214"/>
      <c r="O95" s="214"/>
      <c r="P95" s="214"/>
      <c r="Q95" s="214"/>
    </row>
    <row r="96" spans="1:17" x14ac:dyDescent="0.2">
      <c r="A96" s="113"/>
      <c r="B96" s="214"/>
      <c r="C96" s="214"/>
      <c r="D96" s="214"/>
      <c r="E96" s="214"/>
      <c r="F96" s="214"/>
      <c r="G96" s="214"/>
      <c r="H96" s="214"/>
      <c r="I96" s="214"/>
      <c r="J96" s="214"/>
      <c r="K96" s="214"/>
      <c r="L96" s="214"/>
      <c r="M96" s="214"/>
      <c r="N96" s="214"/>
      <c r="O96" s="214"/>
      <c r="P96" s="214"/>
      <c r="Q96" s="214"/>
    </row>
    <row r="97" spans="1:17" x14ac:dyDescent="0.2">
      <c r="A97" s="113"/>
      <c r="B97" s="214"/>
      <c r="C97" s="214"/>
      <c r="D97" s="214"/>
      <c r="E97" s="214"/>
      <c r="F97" s="214"/>
      <c r="G97" s="214"/>
      <c r="H97" s="214"/>
      <c r="I97" s="214"/>
      <c r="J97" s="214"/>
      <c r="K97" s="214"/>
      <c r="L97" s="214"/>
      <c r="M97" s="214"/>
      <c r="N97" s="214"/>
      <c r="O97" s="214"/>
      <c r="P97" s="214"/>
      <c r="Q97" s="214"/>
    </row>
    <row r="98" spans="1:17" x14ac:dyDescent="0.2">
      <c r="A98" s="113"/>
      <c r="B98" s="214"/>
      <c r="C98" s="214"/>
      <c r="D98" s="214"/>
      <c r="E98" s="214"/>
      <c r="F98" s="214"/>
      <c r="G98" s="214"/>
      <c r="H98" s="214"/>
      <c r="I98" s="214"/>
      <c r="J98" s="214"/>
      <c r="K98" s="214"/>
      <c r="L98" s="214"/>
      <c r="M98" s="214"/>
      <c r="N98" s="214"/>
      <c r="O98" s="214"/>
      <c r="P98" s="214"/>
      <c r="Q98" s="214"/>
    </row>
    <row r="99" spans="1:17" x14ac:dyDescent="0.2">
      <c r="A99" s="113"/>
      <c r="B99" s="214"/>
      <c r="C99" s="214"/>
      <c r="D99" s="214"/>
      <c r="E99" s="214"/>
      <c r="F99" s="214"/>
      <c r="G99" s="214"/>
      <c r="H99" s="214"/>
      <c r="I99" s="214"/>
      <c r="J99" s="214"/>
      <c r="K99" s="214"/>
      <c r="L99" s="214"/>
      <c r="M99" s="214"/>
      <c r="N99" s="214"/>
      <c r="O99" s="214"/>
      <c r="P99" s="214"/>
      <c r="Q99" s="214"/>
    </row>
    <row r="100" spans="1:17" x14ac:dyDescent="0.2">
      <c r="A100" s="113"/>
      <c r="B100" s="214"/>
      <c r="C100" s="214"/>
      <c r="D100" s="214"/>
      <c r="E100" s="214"/>
      <c r="F100" s="214"/>
      <c r="G100" s="214"/>
      <c r="H100" s="214"/>
      <c r="I100" s="214"/>
      <c r="J100" s="214"/>
      <c r="K100" s="214"/>
      <c r="L100" s="214"/>
      <c r="M100" s="214"/>
      <c r="N100" s="214"/>
      <c r="O100" s="214"/>
      <c r="P100" s="214"/>
      <c r="Q100" s="214"/>
    </row>
    <row r="101" spans="1:17" x14ac:dyDescent="0.2">
      <c r="A101" s="113"/>
      <c r="B101" s="214"/>
      <c r="C101" s="214"/>
      <c r="D101" s="214"/>
      <c r="E101" s="214"/>
      <c r="F101" s="214"/>
      <c r="G101" s="214"/>
      <c r="H101" s="214"/>
      <c r="I101" s="214"/>
      <c r="J101" s="214"/>
      <c r="K101" s="214"/>
      <c r="L101" s="214"/>
      <c r="M101" s="214"/>
      <c r="N101" s="214"/>
      <c r="O101" s="214"/>
      <c r="P101" s="214"/>
      <c r="Q101" s="214"/>
    </row>
    <row r="102" spans="1:17" x14ac:dyDescent="0.2">
      <c r="A102" s="113"/>
      <c r="B102" s="214"/>
      <c r="C102" s="214"/>
      <c r="D102" s="214"/>
      <c r="E102" s="214"/>
      <c r="F102" s="214"/>
      <c r="G102" s="214"/>
      <c r="H102" s="214"/>
      <c r="I102" s="214"/>
      <c r="J102" s="214"/>
      <c r="K102" s="214"/>
      <c r="L102" s="214"/>
      <c r="M102" s="214"/>
      <c r="N102" s="214"/>
      <c r="O102" s="214"/>
      <c r="P102" s="214"/>
      <c r="Q102" s="214"/>
    </row>
    <row r="103" spans="1:17" x14ac:dyDescent="0.2">
      <c r="A103" s="113"/>
      <c r="B103" s="214"/>
      <c r="C103" s="214"/>
      <c r="D103" s="214"/>
      <c r="E103" s="214"/>
      <c r="F103" s="214"/>
      <c r="G103" s="214"/>
      <c r="H103" s="214"/>
      <c r="I103" s="214"/>
      <c r="J103" s="214"/>
      <c r="K103" s="214"/>
      <c r="L103" s="214"/>
      <c r="M103" s="214"/>
      <c r="N103" s="214"/>
      <c r="O103" s="214"/>
      <c r="P103" s="214"/>
      <c r="Q103" s="214"/>
    </row>
    <row r="104" spans="1:17" x14ac:dyDescent="0.2">
      <c r="A104" s="113"/>
      <c r="B104" s="214"/>
      <c r="C104" s="214"/>
      <c r="D104" s="214"/>
      <c r="E104" s="214"/>
      <c r="F104" s="214"/>
      <c r="G104" s="214"/>
      <c r="H104" s="214"/>
      <c r="I104" s="214"/>
      <c r="J104" s="214"/>
      <c r="K104" s="214"/>
      <c r="L104" s="214"/>
      <c r="M104" s="214"/>
      <c r="N104" s="214"/>
      <c r="O104" s="214"/>
      <c r="P104" s="214"/>
      <c r="Q104" s="214"/>
    </row>
    <row r="105" spans="1:17" x14ac:dyDescent="0.2">
      <c r="A105" s="113"/>
      <c r="B105" s="214"/>
      <c r="C105" s="214"/>
      <c r="D105" s="214"/>
      <c r="E105" s="214"/>
      <c r="F105" s="214"/>
      <c r="G105" s="214"/>
      <c r="H105" s="214"/>
      <c r="I105" s="214"/>
      <c r="J105" s="214"/>
      <c r="K105" s="214"/>
      <c r="L105" s="214"/>
      <c r="M105" s="214"/>
      <c r="N105" s="214"/>
      <c r="O105" s="214"/>
      <c r="P105" s="214"/>
      <c r="Q105" s="214"/>
    </row>
    <row r="106" spans="1:17" x14ac:dyDescent="0.2">
      <c r="A106" s="113"/>
      <c r="B106" s="214"/>
      <c r="C106" s="214"/>
      <c r="D106" s="214"/>
      <c r="E106" s="214"/>
      <c r="F106" s="214"/>
      <c r="G106" s="214"/>
      <c r="H106" s="214"/>
      <c r="I106" s="214"/>
      <c r="J106" s="214"/>
      <c r="K106" s="214"/>
      <c r="L106" s="214"/>
      <c r="M106" s="214"/>
      <c r="N106" s="214"/>
      <c r="O106" s="214"/>
      <c r="P106" s="214"/>
      <c r="Q106" s="214"/>
    </row>
    <row r="107" spans="1:17" x14ac:dyDescent="0.2">
      <c r="A107" s="113"/>
      <c r="B107" s="214"/>
      <c r="C107" s="214"/>
      <c r="D107" s="214"/>
      <c r="E107" s="214"/>
      <c r="F107" s="214"/>
      <c r="G107" s="214"/>
      <c r="H107" s="214"/>
      <c r="I107" s="214"/>
      <c r="J107" s="214"/>
      <c r="K107" s="214"/>
      <c r="L107" s="214"/>
      <c r="M107" s="214"/>
      <c r="N107" s="214"/>
      <c r="O107" s="214"/>
      <c r="P107" s="214"/>
      <c r="Q107" s="214"/>
    </row>
    <row r="108" spans="1:17" x14ac:dyDescent="0.2">
      <c r="A108" s="113"/>
      <c r="B108" s="214"/>
      <c r="C108" s="214"/>
      <c r="D108" s="214"/>
      <c r="E108" s="214"/>
      <c r="F108" s="214"/>
      <c r="G108" s="214"/>
      <c r="H108" s="214"/>
      <c r="I108" s="214"/>
      <c r="J108" s="214"/>
      <c r="K108" s="214"/>
      <c r="L108" s="214"/>
      <c r="M108" s="214"/>
      <c r="N108" s="214"/>
      <c r="O108" s="214"/>
      <c r="P108" s="214"/>
      <c r="Q108" s="214"/>
    </row>
    <row r="109" spans="1:17" x14ac:dyDescent="0.2">
      <c r="A109" s="113"/>
      <c r="B109" s="214"/>
      <c r="C109" s="214"/>
      <c r="D109" s="214"/>
      <c r="E109" s="214"/>
      <c r="F109" s="214"/>
      <c r="G109" s="214"/>
      <c r="H109" s="214"/>
      <c r="I109" s="214"/>
      <c r="J109" s="214"/>
      <c r="K109" s="214"/>
      <c r="L109" s="214"/>
      <c r="M109" s="214"/>
      <c r="N109" s="214"/>
      <c r="O109" s="214"/>
      <c r="P109" s="214"/>
      <c r="Q109" s="214"/>
    </row>
    <row r="110" spans="1:17" x14ac:dyDescent="0.2">
      <c r="A110" s="113"/>
      <c r="B110" s="214"/>
      <c r="C110" s="214"/>
      <c r="D110" s="214"/>
      <c r="E110" s="214"/>
      <c r="F110" s="214"/>
      <c r="G110" s="214"/>
      <c r="H110" s="214"/>
      <c r="I110" s="214"/>
      <c r="J110" s="214"/>
      <c r="K110" s="214"/>
      <c r="L110" s="214"/>
      <c r="M110" s="214"/>
      <c r="N110" s="214"/>
      <c r="O110" s="214"/>
      <c r="P110" s="214"/>
      <c r="Q110" s="214"/>
    </row>
    <row r="111" spans="1:17" x14ac:dyDescent="0.2">
      <c r="A111" s="113"/>
      <c r="B111" s="214"/>
      <c r="C111" s="214"/>
      <c r="D111" s="214"/>
      <c r="E111" s="214"/>
      <c r="F111" s="214"/>
      <c r="G111" s="214"/>
      <c r="H111" s="214"/>
      <c r="I111" s="214"/>
      <c r="J111" s="214"/>
      <c r="K111" s="214"/>
      <c r="L111" s="214"/>
      <c r="M111" s="214"/>
      <c r="N111" s="214"/>
      <c r="O111" s="214"/>
      <c r="P111" s="214"/>
      <c r="Q111" s="214"/>
    </row>
    <row r="112" spans="1:17" x14ac:dyDescent="0.2">
      <c r="A112" s="113"/>
      <c r="B112" s="214"/>
      <c r="C112" s="214"/>
      <c r="D112" s="214"/>
      <c r="E112" s="214"/>
      <c r="F112" s="214"/>
      <c r="G112" s="214"/>
      <c r="H112" s="214"/>
      <c r="I112" s="214"/>
      <c r="J112" s="214"/>
      <c r="K112" s="214"/>
      <c r="L112" s="214"/>
      <c r="M112" s="214"/>
      <c r="N112" s="214"/>
      <c r="O112" s="214"/>
      <c r="P112" s="214"/>
      <c r="Q112" s="214"/>
    </row>
    <row r="113" spans="1:17" x14ac:dyDescent="0.2">
      <c r="A113" s="113"/>
      <c r="B113" s="214"/>
      <c r="C113" s="214"/>
      <c r="D113" s="214"/>
      <c r="E113" s="214"/>
      <c r="F113" s="214"/>
      <c r="G113" s="214"/>
      <c r="H113" s="214"/>
      <c r="I113" s="214"/>
      <c r="J113" s="214"/>
      <c r="K113" s="214"/>
      <c r="L113" s="214"/>
      <c r="M113" s="214"/>
      <c r="N113" s="214"/>
      <c r="O113" s="214"/>
      <c r="P113" s="214"/>
      <c r="Q113" s="214"/>
    </row>
    <row r="114" spans="1:17" x14ac:dyDescent="0.2">
      <c r="A114" s="113"/>
      <c r="B114" s="214"/>
      <c r="C114" s="214"/>
      <c r="D114" s="214"/>
      <c r="E114" s="214"/>
      <c r="F114" s="214"/>
      <c r="G114" s="214"/>
      <c r="H114" s="214"/>
      <c r="I114" s="214"/>
      <c r="J114" s="214"/>
      <c r="K114" s="214"/>
      <c r="L114" s="214"/>
      <c r="M114" s="214"/>
      <c r="N114" s="214"/>
      <c r="O114" s="214"/>
      <c r="P114" s="214"/>
      <c r="Q114" s="214"/>
    </row>
    <row r="115" spans="1:17" x14ac:dyDescent="0.2">
      <c r="A115" s="113"/>
      <c r="B115" s="214"/>
      <c r="C115" s="214"/>
      <c r="D115" s="214"/>
      <c r="E115" s="214"/>
      <c r="F115" s="214"/>
      <c r="G115" s="214"/>
      <c r="H115" s="214"/>
      <c r="I115" s="214"/>
      <c r="J115" s="214"/>
      <c r="K115" s="214"/>
      <c r="L115" s="214"/>
      <c r="M115" s="214"/>
      <c r="N115" s="214"/>
      <c r="O115" s="214"/>
      <c r="P115" s="214"/>
      <c r="Q115" s="214"/>
    </row>
    <row r="116" spans="1:17" x14ac:dyDescent="0.2">
      <c r="A116" s="113"/>
      <c r="B116" s="214"/>
      <c r="C116" s="214"/>
      <c r="D116" s="214"/>
      <c r="E116" s="214"/>
      <c r="F116" s="214"/>
      <c r="G116" s="214"/>
      <c r="H116" s="214"/>
      <c r="I116" s="214"/>
      <c r="J116" s="214"/>
      <c r="K116" s="214"/>
      <c r="L116" s="214"/>
      <c r="M116" s="214"/>
      <c r="N116" s="214"/>
      <c r="O116" s="214"/>
      <c r="P116" s="214"/>
      <c r="Q116" s="214"/>
    </row>
    <row r="117" spans="1:17" ht="13.5" thickBot="1" x14ac:dyDescent="0.25">
      <c r="A117" s="231"/>
      <c r="B117" s="232"/>
      <c r="C117" s="232"/>
      <c r="D117" s="232"/>
      <c r="E117" s="232"/>
      <c r="F117" s="232"/>
      <c r="G117" s="232"/>
      <c r="H117" s="232"/>
      <c r="I117" s="214"/>
      <c r="J117" s="214"/>
      <c r="K117" s="214"/>
      <c r="L117" s="214"/>
      <c r="M117" s="214"/>
      <c r="N117" s="214"/>
      <c r="O117" s="214"/>
      <c r="P117" s="214"/>
      <c r="Q117" s="214"/>
    </row>
    <row r="118" spans="1:17" x14ac:dyDescent="0.2">
      <c r="A118" s="40"/>
      <c r="B118" s="40"/>
      <c r="C118" s="40"/>
      <c r="D118" s="40"/>
      <c r="E118" s="40"/>
      <c r="F118" s="40"/>
      <c r="G118" s="40"/>
      <c r="H118" s="40"/>
      <c r="I118" s="40"/>
      <c r="J118" s="214"/>
      <c r="K118" s="214"/>
      <c r="L118" s="214"/>
      <c r="M118" s="214"/>
      <c r="N118" s="214"/>
      <c r="O118" s="214"/>
      <c r="P118" s="214"/>
      <c r="Q118" s="214"/>
    </row>
    <row r="119" spans="1:17" x14ac:dyDescent="0.2">
      <c r="A119" s="40"/>
      <c r="B119" s="40"/>
      <c r="C119" s="40"/>
      <c r="D119" s="40"/>
      <c r="E119" s="40"/>
      <c r="F119" s="40"/>
      <c r="G119" s="40"/>
      <c r="H119" s="40"/>
      <c r="I119" s="40"/>
      <c r="J119" s="214"/>
      <c r="K119" s="214"/>
      <c r="L119" s="214"/>
      <c r="M119" s="214"/>
      <c r="N119" s="214"/>
      <c r="O119" s="214"/>
      <c r="P119" s="214"/>
      <c r="Q119" s="214"/>
    </row>
    <row r="120" spans="1:17" x14ac:dyDescent="0.2">
      <c r="A120" s="40"/>
      <c r="B120" s="40"/>
      <c r="C120" s="40"/>
      <c r="D120" s="40"/>
      <c r="E120" s="40"/>
      <c r="F120" s="40"/>
      <c r="G120" s="40"/>
      <c r="H120" s="40"/>
      <c r="I120" s="40"/>
      <c r="J120" s="214"/>
      <c r="K120" s="214"/>
      <c r="L120" s="214"/>
      <c r="M120" s="214"/>
      <c r="N120" s="214"/>
      <c r="O120" s="214"/>
      <c r="P120" s="214"/>
      <c r="Q120" s="214"/>
    </row>
    <row r="121" spans="1:17" x14ac:dyDescent="0.2">
      <c r="A121" s="40"/>
      <c r="B121" s="40"/>
      <c r="C121" s="40"/>
      <c r="D121" s="40"/>
      <c r="E121" s="40"/>
      <c r="F121" s="40"/>
      <c r="G121" s="40"/>
      <c r="H121" s="40"/>
      <c r="I121" s="40"/>
      <c r="J121" s="214"/>
      <c r="K121" s="214"/>
      <c r="L121" s="214"/>
      <c r="M121" s="214"/>
      <c r="N121" s="214"/>
      <c r="O121" s="214"/>
      <c r="P121" s="214"/>
      <c r="Q121" s="214"/>
    </row>
    <row r="122" spans="1:17" x14ac:dyDescent="0.2">
      <c r="A122" s="40"/>
      <c r="B122" s="40"/>
      <c r="C122" s="40"/>
      <c r="D122" s="40"/>
      <c r="E122" s="40"/>
      <c r="F122" s="40"/>
      <c r="G122" s="40"/>
      <c r="H122" s="40"/>
      <c r="I122" s="40"/>
      <c r="J122" s="214"/>
      <c r="K122" s="214"/>
      <c r="L122" s="214"/>
      <c r="M122" s="214"/>
      <c r="N122" s="214"/>
      <c r="O122" s="214"/>
      <c r="P122" s="214"/>
      <c r="Q122" s="214"/>
    </row>
    <row r="123" spans="1:17" x14ac:dyDescent="0.2">
      <c r="A123" s="40"/>
      <c r="B123" s="40"/>
      <c r="C123" s="40"/>
      <c r="D123" s="40"/>
      <c r="E123" s="40"/>
      <c r="F123" s="40"/>
      <c r="G123" s="40"/>
      <c r="H123" s="40"/>
      <c r="I123" s="40"/>
      <c r="J123" s="214"/>
      <c r="K123" s="214"/>
      <c r="L123" s="214"/>
      <c r="M123" s="214"/>
      <c r="N123" s="214"/>
      <c r="O123" s="214"/>
      <c r="P123" s="214"/>
      <c r="Q123" s="214"/>
    </row>
    <row r="124" spans="1:17" x14ac:dyDescent="0.2">
      <c r="A124" s="40"/>
      <c r="B124" s="40"/>
      <c r="C124" s="40"/>
      <c r="D124" s="40"/>
      <c r="E124" s="40"/>
      <c r="F124" s="40"/>
      <c r="G124" s="40"/>
      <c r="H124" s="40"/>
      <c r="I124" s="40"/>
      <c r="J124" s="214"/>
      <c r="K124" s="214"/>
      <c r="L124" s="214"/>
      <c r="M124" s="214"/>
      <c r="N124" s="214"/>
      <c r="O124" s="214"/>
      <c r="P124" s="214"/>
      <c r="Q124" s="214"/>
    </row>
    <row r="125" spans="1:17" x14ac:dyDescent="0.2">
      <c r="A125" s="40"/>
      <c r="B125" s="40"/>
      <c r="C125" s="40"/>
      <c r="D125" s="40"/>
      <c r="E125" s="40"/>
      <c r="F125" s="40"/>
      <c r="G125" s="40"/>
      <c r="H125" s="40"/>
      <c r="I125" s="40"/>
      <c r="J125" s="214"/>
      <c r="K125" s="214"/>
      <c r="L125" s="214"/>
      <c r="M125" s="214"/>
      <c r="N125" s="214"/>
      <c r="O125" s="214"/>
      <c r="P125" s="214"/>
      <c r="Q125" s="214"/>
    </row>
    <row r="126" spans="1:17" x14ac:dyDescent="0.2">
      <c r="A126" s="40"/>
      <c r="B126" s="40"/>
      <c r="C126" s="40"/>
      <c r="D126" s="40"/>
      <c r="E126" s="40"/>
      <c r="F126" s="40"/>
      <c r="G126" s="40"/>
      <c r="H126" s="40"/>
      <c r="I126" s="40"/>
      <c r="J126" s="214"/>
      <c r="K126" s="214"/>
      <c r="L126" s="214"/>
      <c r="M126" s="214"/>
      <c r="N126" s="214"/>
      <c r="O126" s="214"/>
      <c r="P126" s="214"/>
      <c r="Q126" s="214"/>
    </row>
    <row r="127" spans="1:17" x14ac:dyDescent="0.2">
      <c r="A127" s="40"/>
      <c r="B127" s="40"/>
      <c r="C127" s="40"/>
      <c r="D127" s="40"/>
      <c r="E127" s="40"/>
      <c r="F127" s="40"/>
      <c r="G127" s="40"/>
      <c r="H127" s="40"/>
      <c r="I127" s="40"/>
      <c r="J127" s="214"/>
      <c r="K127" s="214"/>
      <c r="L127" s="214"/>
      <c r="M127" s="214"/>
      <c r="N127" s="214"/>
      <c r="O127" s="214"/>
      <c r="P127" s="214"/>
      <c r="Q127" s="214"/>
    </row>
    <row r="128" spans="1:17" x14ac:dyDescent="0.2">
      <c r="A128" s="40"/>
      <c r="B128" s="40"/>
      <c r="C128" s="40"/>
      <c r="D128" s="40"/>
      <c r="E128" s="40"/>
      <c r="F128" s="40"/>
      <c r="G128" s="40"/>
      <c r="H128" s="40"/>
      <c r="I128" s="40"/>
      <c r="J128" s="214"/>
      <c r="K128" s="214"/>
      <c r="L128" s="214"/>
      <c r="M128" s="214"/>
      <c r="N128" s="214"/>
      <c r="O128" s="214"/>
      <c r="P128" s="214"/>
      <c r="Q128" s="214"/>
    </row>
    <row r="129" spans="1:17" x14ac:dyDescent="0.2">
      <c r="A129" s="40"/>
      <c r="B129" s="40"/>
      <c r="C129" s="40"/>
      <c r="D129" s="40"/>
      <c r="E129" s="40"/>
      <c r="F129" s="40"/>
      <c r="G129" s="40"/>
      <c r="H129" s="40"/>
      <c r="I129" s="40"/>
      <c r="J129" s="214"/>
      <c r="K129" s="214"/>
      <c r="L129" s="214"/>
      <c r="M129" s="214"/>
      <c r="N129" s="214"/>
      <c r="O129" s="214"/>
      <c r="P129" s="214"/>
      <c r="Q129" s="214"/>
    </row>
    <row r="130" spans="1:17" x14ac:dyDescent="0.2">
      <c r="A130" s="40"/>
      <c r="B130" s="40"/>
      <c r="C130" s="40"/>
      <c r="D130" s="40"/>
      <c r="E130" s="40"/>
      <c r="F130" s="40"/>
      <c r="G130" s="40"/>
      <c r="H130" s="40"/>
      <c r="I130" s="40"/>
      <c r="J130" s="214"/>
      <c r="K130" s="214"/>
      <c r="L130" s="214"/>
      <c r="M130" s="214"/>
      <c r="N130" s="214"/>
      <c r="O130" s="214"/>
      <c r="P130" s="214"/>
      <c r="Q130" s="214"/>
    </row>
    <row r="131" spans="1:17" x14ac:dyDescent="0.2">
      <c r="A131" s="40"/>
      <c r="B131" s="40"/>
      <c r="C131" s="40"/>
      <c r="D131" s="40"/>
      <c r="E131" s="40"/>
      <c r="F131" s="40"/>
      <c r="G131" s="40"/>
      <c r="H131" s="40"/>
      <c r="I131" s="40"/>
      <c r="J131" s="214"/>
      <c r="K131" s="214"/>
      <c r="L131" s="214"/>
      <c r="M131" s="214"/>
      <c r="N131" s="214"/>
      <c r="O131" s="214"/>
      <c r="P131" s="214"/>
      <c r="Q131" s="214"/>
    </row>
    <row r="132" spans="1:17" x14ac:dyDescent="0.2">
      <c r="A132" s="40"/>
      <c r="B132" s="40"/>
      <c r="C132" s="40"/>
      <c r="D132" s="40"/>
      <c r="E132" s="40"/>
      <c r="F132" s="40"/>
      <c r="G132" s="40"/>
      <c r="H132" s="40"/>
      <c r="I132" s="40"/>
      <c r="J132" s="214"/>
      <c r="K132" s="214"/>
      <c r="L132" s="214"/>
      <c r="M132" s="214"/>
      <c r="N132" s="214"/>
      <c r="O132" s="214"/>
      <c r="P132" s="214"/>
      <c r="Q132" s="214"/>
    </row>
    <row r="133" spans="1:17" x14ac:dyDescent="0.2">
      <c r="A133" s="40"/>
      <c r="B133" s="40"/>
      <c r="C133" s="40"/>
      <c r="D133" s="40"/>
      <c r="E133" s="40"/>
      <c r="F133" s="40"/>
      <c r="G133" s="40"/>
      <c r="H133" s="40"/>
      <c r="I133" s="40"/>
      <c r="J133" s="214"/>
      <c r="K133" s="214"/>
      <c r="L133" s="214"/>
      <c r="M133" s="214"/>
      <c r="N133" s="214"/>
      <c r="O133" s="214"/>
      <c r="P133" s="214"/>
      <c r="Q133" s="214"/>
    </row>
    <row r="134" spans="1:17" x14ac:dyDescent="0.2">
      <c r="A134" s="40"/>
      <c r="B134" s="40"/>
      <c r="C134" s="40"/>
      <c r="D134" s="40"/>
      <c r="E134" s="40"/>
      <c r="F134" s="40"/>
      <c r="G134" s="40"/>
      <c r="H134" s="40"/>
      <c r="I134" s="40"/>
      <c r="J134" s="214"/>
      <c r="K134" s="214"/>
      <c r="L134" s="214"/>
      <c r="M134" s="214"/>
      <c r="N134" s="214"/>
      <c r="O134" s="214"/>
      <c r="P134" s="214"/>
      <c r="Q134" s="214"/>
    </row>
    <row r="135" spans="1:17" x14ac:dyDescent="0.2">
      <c r="A135" s="40"/>
      <c r="B135" s="40"/>
      <c r="C135" s="40"/>
      <c r="D135" s="40"/>
      <c r="E135" s="40"/>
      <c r="F135" s="40"/>
      <c r="G135" s="40"/>
      <c r="H135" s="40"/>
      <c r="I135" s="40"/>
      <c r="J135" s="214"/>
      <c r="K135" s="214"/>
      <c r="L135" s="214"/>
      <c r="M135" s="214"/>
      <c r="N135" s="214"/>
      <c r="O135" s="214"/>
      <c r="P135" s="214"/>
      <c r="Q135" s="214"/>
    </row>
    <row r="136" spans="1:17" ht="13.5" thickBot="1" x14ac:dyDescent="0.25">
      <c r="A136" s="40"/>
      <c r="B136" s="40"/>
      <c r="C136" s="40"/>
      <c r="D136" s="40"/>
      <c r="E136" s="40"/>
      <c r="F136" s="40"/>
      <c r="G136" s="40"/>
      <c r="H136" s="40"/>
      <c r="I136" s="40"/>
      <c r="J136" s="232"/>
      <c r="K136" s="232"/>
      <c r="L136" s="232"/>
      <c r="M136" s="232"/>
      <c r="N136" s="232"/>
      <c r="O136" s="232"/>
      <c r="P136" s="232"/>
      <c r="Q136" s="232"/>
    </row>
  </sheetData>
  <mergeCells count="6">
    <mergeCell ref="O12:P12"/>
    <mergeCell ref="O11:P11"/>
    <mergeCell ref="A5:A7"/>
    <mergeCell ref="E3:Q7"/>
    <mergeCell ref="O9:P9"/>
    <mergeCell ref="O10:P10"/>
  </mergeCells>
  <phoneticPr fontId="0" type="noConversion"/>
  <conditionalFormatting sqref="J9 H9 H29 J29">
    <cfRule type="cellIs" dxfId="30" priority="1" stopIfTrue="1" operator="between">
      <formula>0</formula>
      <formula>-20</formula>
    </cfRule>
    <cfRule type="cellIs" dxfId="29" priority="2" stopIfTrue="1" operator="lessThan">
      <formula>-20</formula>
    </cfRule>
  </conditionalFormatting>
  <conditionalFormatting sqref="J41:J43 J31:J34 J45:J47 J36:J39 J11:J14 J16:J19 J21:J23 J25:J27">
    <cfRule type="cellIs" dxfId="28" priority="3" stopIfTrue="1" operator="greaterThan">
      <formula>0.8</formula>
    </cfRule>
    <cfRule type="cellIs" dxfId="27" priority="4" stopIfTrue="1" operator="between">
      <formula>0.4</formula>
      <formula>0.8</formula>
    </cfRule>
    <cfRule type="cellIs" dxfId="26" priority="5" stopIfTrue="1" operator="lessThan">
      <formula>0.4</formula>
    </cfRule>
  </conditionalFormatting>
  <conditionalFormatting sqref="B11:H14">
    <cfRule type="cellIs" dxfId="25" priority="6" stopIfTrue="1" operator="lessThan">
      <formula>B$10</formula>
    </cfRule>
  </conditionalFormatting>
  <conditionalFormatting sqref="B21:H23">
    <cfRule type="cellIs" dxfId="24" priority="7" stopIfTrue="1" operator="lessThan">
      <formula>B$20</formula>
    </cfRule>
  </conditionalFormatting>
  <conditionalFormatting sqref="B31:H34">
    <cfRule type="cellIs" dxfId="23" priority="8" stopIfTrue="1" operator="lessThan">
      <formula>B$30</formula>
    </cfRule>
  </conditionalFormatting>
  <conditionalFormatting sqref="B36:H39">
    <cfRule type="cellIs" dxfId="22" priority="9" stopIfTrue="1" operator="lessThan">
      <formula>B$35</formula>
    </cfRule>
  </conditionalFormatting>
  <conditionalFormatting sqref="B41:H43">
    <cfRule type="cellIs" dxfId="21" priority="10" stopIfTrue="1" operator="lessThan">
      <formula>B$40</formula>
    </cfRule>
  </conditionalFormatting>
  <conditionalFormatting sqref="B45:H47">
    <cfRule type="cellIs" dxfId="20" priority="11" stopIfTrue="1" operator="lessThan">
      <formula>B$44</formula>
    </cfRule>
  </conditionalFormatting>
  <conditionalFormatting sqref="B16:H19">
    <cfRule type="cellIs" dxfId="19" priority="12" stopIfTrue="1" operator="lessThan">
      <formula>B$15</formula>
    </cfRule>
  </conditionalFormatting>
  <conditionalFormatting sqref="B25:H27">
    <cfRule type="cellIs" dxfId="18" priority="13" stopIfTrue="1" operator="lessThan">
      <formula>B$24</formula>
    </cfRule>
  </conditionalFormatting>
  <dataValidations count="1">
    <dataValidation type="list" allowBlank="1" showInputMessage="1" showErrorMessage="1" sqref="A4">
      <formula1>$L$10:$L$19</formula1>
    </dataValidation>
  </dataValidations>
  <pageMargins left="0.75" right="0.75" top="1" bottom="1" header="0.5" footer="0.5"/>
  <pageSetup paperSize="8" scale="95"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J56"/>
  <sheetViews>
    <sheetView tabSelected="1" workbookViewId="0">
      <pane ySplit="20" topLeftCell="A29" activePane="bottomLeft" state="frozen"/>
      <selection pane="bottomLeft" activeCell="E54" sqref="A35:E54"/>
    </sheetView>
  </sheetViews>
  <sheetFormatPr defaultRowHeight="12.75" x14ac:dyDescent="0.2"/>
  <cols>
    <col min="1" max="1" width="64.85546875" customWidth="1"/>
    <col min="2" max="2" width="24" customWidth="1"/>
    <col min="3" max="3" width="18.85546875" customWidth="1"/>
    <col min="4" max="5" width="16.85546875" customWidth="1"/>
    <col min="6" max="6" width="4.28515625" customWidth="1"/>
    <col min="7" max="7" width="9.7109375" customWidth="1"/>
    <col min="8" max="8" width="15.7109375" customWidth="1"/>
  </cols>
  <sheetData>
    <row r="1" spans="1:10" ht="21" thickBot="1" x14ac:dyDescent="0.35">
      <c r="A1" s="106" t="s">
        <v>336</v>
      </c>
      <c r="B1" s="336" t="str">
        <f>'Key formula data'!C6</f>
        <v>October 2014</v>
      </c>
      <c r="C1" s="335" t="s">
        <v>337</v>
      </c>
      <c r="D1" s="298" t="str">
        <f>A9</f>
        <v xml:space="preserve">SE1 </v>
      </c>
      <c r="E1" s="111"/>
      <c r="F1" s="7"/>
      <c r="G1" s="119"/>
      <c r="H1" s="119"/>
      <c r="I1" s="7"/>
      <c r="J1" s="8"/>
    </row>
    <row r="2" spans="1:10" x14ac:dyDescent="0.2">
      <c r="A2" s="317"/>
      <c r="B2" s="10"/>
      <c r="C2" s="10"/>
      <c r="D2" s="10"/>
      <c r="E2" s="10"/>
      <c r="F2" s="10"/>
      <c r="G2" s="41" t="s">
        <v>199</v>
      </c>
      <c r="H2" s="41" t="s">
        <v>200</v>
      </c>
      <c r="I2" s="10"/>
      <c r="J2" s="11"/>
    </row>
    <row r="3" spans="1:10" x14ac:dyDescent="0.2">
      <c r="A3" s="81" t="s">
        <v>133</v>
      </c>
      <c r="B3" s="69" t="s">
        <v>116</v>
      </c>
      <c r="C3" s="69" t="s">
        <v>129</v>
      </c>
      <c r="D3" s="69" t="s">
        <v>118</v>
      </c>
      <c r="E3" s="69" t="s">
        <v>130</v>
      </c>
      <c r="F3" s="10"/>
      <c r="G3" s="116" t="s">
        <v>36</v>
      </c>
      <c r="H3" s="116" t="str">
        <f>'Key formula data'!G8</f>
        <v>Southwark</v>
      </c>
      <c r="I3" s="10"/>
      <c r="J3" s="11"/>
    </row>
    <row r="4" spans="1:10" x14ac:dyDescent="0.2">
      <c r="A4" s="74" t="s">
        <v>11</v>
      </c>
      <c r="B4" s="120">
        <v>0.8</v>
      </c>
      <c r="C4" s="120">
        <v>0.8</v>
      </c>
      <c r="D4" s="121" t="s">
        <v>131</v>
      </c>
      <c r="E4" s="121" t="s">
        <v>132</v>
      </c>
      <c r="F4" s="10"/>
      <c r="G4" s="116" t="s">
        <v>26</v>
      </c>
      <c r="H4" s="116" t="str">
        <f>'Key formula data'!G9</f>
        <v>Bankside</v>
      </c>
      <c r="I4" s="10"/>
      <c r="J4" s="11"/>
    </row>
    <row r="5" spans="1:10" x14ac:dyDescent="0.2">
      <c r="A5" s="74" t="s">
        <v>12</v>
      </c>
      <c r="B5" s="120">
        <v>0.8</v>
      </c>
      <c r="C5" s="120">
        <v>0.7</v>
      </c>
      <c r="D5" s="121" t="s">
        <v>131</v>
      </c>
      <c r="E5" s="121" t="s">
        <v>132</v>
      </c>
      <c r="F5" s="10"/>
      <c r="G5" s="116" t="s">
        <v>25</v>
      </c>
      <c r="H5" s="116" t="str">
        <f>'Key formula data'!G10</f>
        <v>Camberwell</v>
      </c>
      <c r="I5" s="10"/>
      <c r="J5" s="11"/>
    </row>
    <row r="6" spans="1:10" x14ac:dyDescent="0.2">
      <c r="A6" s="74" t="s">
        <v>13</v>
      </c>
      <c r="B6" s="120">
        <v>0.8</v>
      </c>
      <c r="C6" s="120">
        <v>0.6</v>
      </c>
      <c r="D6" s="121" t="s">
        <v>131</v>
      </c>
      <c r="E6" s="121" t="s">
        <v>132</v>
      </c>
      <c r="F6" s="10"/>
      <c r="G6" s="116" t="s">
        <v>30</v>
      </c>
      <c r="H6" s="116" t="str">
        <f>'Key formula data'!G11</f>
        <v>Kennington</v>
      </c>
      <c r="I6" s="10"/>
      <c r="J6" s="11"/>
    </row>
    <row r="7" spans="1:10" ht="13.5" thickBot="1" x14ac:dyDescent="0.25">
      <c r="A7" s="79"/>
      <c r="B7" s="90"/>
      <c r="C7" s="90"/>
      <c r="D7" s="109"/>
      <c r="E7" s="109"/>
      <c r="F7" s="10"/>
      <c r="G7" s="116" t="s">
        <v>29</v>
      </c>
      <c r="H7" s="116" t="str">
        <f>'Key formula data'!G12</f>
        <v>Peckham</v>
      </c>
      <c r="I7" s="10"/>
      <c r="J7" s="11"/>
    </row>
    <row r="8" spans="1:10" x14ac:dyDescent="0.2">
      <c r="A8" s="175" t="s">
        <v>180</v>
      </c>
      <c r="B8" s="176" t="s">
        <v>102</v>
      </c>
      <c r="C8" s="177" t="s">
        <v>204</v>
      </c>
      <c r="D8" s="109"/>
      <c r="E8" s="109"/>
      <c r="F8" s="10"/>
      <c r="G8" s="116" t="s">
        <v>28</v>
      </c>
      <c r="H8" s="116" t="str">
        <f>'Key formula data'!G13</f>
        <v>Rotherhithe</v>
      </c>
      <c r="I8" s="10"/>
      <c r="J8" s="11"/>
    </row>
    <row r="9" spans="1:10" x14ac:dyDescent="0.2">
      <c r="A9" s="115" t="s">
        <v>26</v>
      </c>
      <c r="B9" s="189">
        <v>1</v>
      </c>
      <c r="C9" s="190">
        <f>VLOOKUP($A$9,rentstable3,2,FALSE)</f>
        <v>395.34660865898769</v>
      </c>
      <c r="D9" s="109"/>
      <c r="E9" s="109"/>
      <c r="F9" s="10"/>
      <c r="G9" s="116" t="s">
        <v>27</v>
      </c>
      <c r="H9" s="116" t="str">
        <f>'Key formula data'!G14</f>
        <v>Walworth</v>
      </c>
      <c r="I9" s="10"/>
      <c r="J9" s="11"/>
    </row>
    <row r="10" spans="1:10" x14ac:dyDescent="0.2">
      <c r="A10" s="401" t="s">
        <v>181</v>
      </c>
      <c r="B10" s="189">
        <v>2</v>
      </c>
      <c r="C10" s="190">
        <f>VLOOKUP($A$9,rentstable3,3,FALSE)</f>
        <v>518.15934223891759</v>
      </c>
      <c r="D10" s="109"/>
      <c r="E10" s="109"/>
      <c r="F10" s="10"/>
      <c r="G10" s="116" t="s">
        <v>33</v>
      </c>
      <c r="H10" s="116" t="str">
        <f>'Key formula data'!G15</f>
        <v>Dulwich</v>
      </c>
      <c r="I10" s="10"/>
      <c r="J10" s="11"/>
    </row>
    <row r="11" spans="1:10" x14ac:dyDescent="0.2">
      <c r="A11" s="401"/>
      <c r="B11" s="189">
        <v>3</v>
      </c>
      <c r="C11" s="190">
        <f>VLOOKUP($A$9,rentstable3,4,FALSE)</f>
        <v>720.08739482913927</v>
      </c>
      <c r="D11" s="109"/>
      <c r="E11" s="109"/>
      <c r="F11" s="10"/>
      <c r="G11" s="116" t="s">
        <v>32</v>
      </c>
      <c r="H11" s="116" t="str">
        <f>'Key formula data'!G16</f>
        <v>East Dulwich</v>
      </c>
      <c r="I11" s="10"/>
      <c r="J11" s="11"/>
    </row>
    <row r="12" spans="1:10" x14ac:dyDescent="0.2">
      <c r="A12" s="401"/>
      <c r="B12" s="189">
        <v>4</v>
      </c>
      <c r="C12" s="190">
        <f>VLOOKUP($A$9,rentstable3,5,FALSE)</f>
        <v>677.76989861433196</v>
      </c>
      <c r="D12" s="109"/>
      <c r="E12" s="109"/>
      <c r="F12" s="10"/>
      <c r="G12" s="116" t="s">
        <v>31</v>
      </c>
      <c r="H12" s="116" t="str">
        <f>'Key formula data'!G17</f>
        <v>Herne Hill</v>
      </c>
      <c r="I12" s="10"/>
      <c r="J12" s="11"/>
    </row>
    <row r="13" spans="1:10" x14ac:dyDescent="0.2">
      <c r="A13" s="234"/>
      <c r="B13" s="235"/>
      <c r="C13" s="236"/>
      <c r="D13" s="109"/>
      <c r="E13" s="109"/>
      <c r="F13" s="10"/>
      <c r="G13" s="10"/>
      <c r="H13" s="10"/>
      <c r="I13" s="10"/>
      <c r="J13" s="11"/>
    </row>
    <row r="14" spans="1:10" ht="79.5" customHeight="1" x14ac:dyDescent="0.2">
      <c r="A14" s="415" t="s">
        <v>4</v>
      </c>
      <c r="B14" s="416"/>
      <c r="C14" s="416"/>
      <c r="D14" s="416"/>
      <c r="E14" s="416"/>
      <c r="F14" s="416"/>
      <c r="G14" s="416"/>
      <c r="H14" s="416"/>
      <c r="I14" s="10"/>
      <c r="J14" s="11"/>
    </row>
    <row r="15" spans="1:10" ht="14.25" customHeight="1" x14ac:dyDescent="0.2">
      <c r="A15" s="238" t="s">
        <v>193</v>
      </c>
      <c r="B15" s="237"/>
      <c r="C15" s="237"/>
      <c r="D15" s="237"/>
      <c r="E15" s="237"/>
      <c r="F15" s="237"/>
      <c r="G15" s="237"/>
      <c r="H15" s="237"/>
      <c r="I15" s="237"/>
      <c r="J15" s="11"/>
    </row>
    <row r="16" spans="1:10" x14ac:dyDescent="0.2">
      <c r="A16" s="63" t="s">
        <v>134</v>
      </c>
      <c r="B16" s="237"/>
      <c r="C16" s="237"/>
      <c r="D16" s="237"/>
      <c r="E16" s="237"/>
      <c r="F16" s="237"/>
      <c r="G16" s="237"/>
      <c r="H16" s="237"/>
      <c r="I16" s="237"/>
      <c r="J16" s="11"/>
    </row>
    <row r="17" spans="1:10" x14ac:dyDescent="0.2">
      <c r="A17" s="89" t="s">
        <v>135</v>
      </c>
      <c r="B17" s="237"/>
      <c r="C17" s="237"/>
      <c r="D17" s="237"/>
      <c r="E17" s="237"/>
      <c r="F17" s="237"/>
      <c r="G17" s="237"/>
      <c r="H17" s="237"/>
      <c r="I17" s="237"/>
      <c r="J17" s="11"/>
    </row>
    <row r="18" spans="1:10" x14ac:dyDescent="0.2">
      <c r="A18" s="239" t="s">
        <v>194</v>
      </c>
      <c r="B18" s="237"/>
      <c r="C18" s="237"/>
      <c r="D18" s="237"/>
      <c r="E18" s="237"/>
      <c r="F18" s="237"/>
      <c r="G18" s="237"/>
      <c r="H18" s="237"/>
      <c r="I18" s="237"/>
      <c r="J18" s="11"/>
    </row>
    <row r="19" spans="1:10" ht="15.75" customHeight="1" x14ac:dyDescent="0.2">
      <c r="A19" s="240" t="s">
        <v>195</v>
      </c>
      <c r="B19" s="237"/>
      <c r="C19" s="237"/>
      <c r="D19" s="237"/>
      <c r="E19" s="237"/>
      <c r="F19" s="237"/>
      <c r="G19" s="237"/>
      <c r="H19" s="237"/>
      <c r="I19" s="237"/>
      <c r="J19" s="11"/>
    </row>
    <row r="20" spans="1:10" ht="13.5" thickBot="1" x14ac:dyDescent="0.25">
      <c r="A20" s="251"/>
      <c r="B20" s="252"/>
      <c r="C20" s="252"/>
      <c r="D20" s="252"/>
      <c r="E20" s="252"/>
      <c r="F20" s="237"/>
      <c r="G20" s="237"/>
      <c r="H20" s="237"/>
      <c r="I20" s="237"/>
      <c r="J20" s="11"/>
    </row>
    <row r="21" spans="1:10" x14ac:dyDescent="0.2">
      <c r="A21" s="76" t="s">
        <v>14</v>
      </c>
      <c r="B21" s="244" t="s">
        <v>116</v>
      </c>
      <c r="C21" s="244" t="s">
        <v>129</v>
      </c>
      <c r="D21" s="244" t="s">
        <v>118</v>
      </c>
      <c r="E21" s="253" t="s">
        <v>130</v>
      </c>
      <c r="F21" s="10"/>
      <c r="G21" s="10"/>
      <c r="H21" s="10"/>
      <c r="I21" s="10"/>
      <c r="J21" s="11"/>
    </row>
    <row r="22" spans="1:10" x14ac:dyDescent="0.2">
      <c r="A22" s="153" t="s">
        <v>138</v>
      </c>
      <c r="B22" s="241">
        <f>'Key formula data'!B22</f>
        <v>196.23</v>
      </c>
      <c r="C22" s="241">
        <f>'Key formula data'!C22</f>
        <v>255.09</v>
      </c>
      <c r="D22" s="241">
        <f>'Key formula data'!D22</f>
        <v>318</v>
      </c>
      <c r="E22" s="254">
        <f>'Key formula data'!E22</f>
        <v>412.89</v>
      </c>
      <c r="F22" s="10"/>
      <c r="G22" s="10"/>
      <c r="H22" s="10"/>
      <c r="I22" s="10"/>
      <c r="J22" s="11"/>
    </row>
    <row r="23" spans="1:10" x14ac:dyDescent="0.2">
      <c r="A23" s="153" t="s">
        <v>196</v>
      </c>
      <c r="B23" s="241">
        <f>B22*52.177</f>
        <v>10238.692709999999</v>
      </c>
      <c r="C23" s="241">
        <f>C22*52.177</f>
        <v>13309.83093</v>
      </c>
      <c r="D23" s="241">
        <f>D22*52.177</f>
        <v>16592.286</v>
      </c>
      <c r="E23" s="245">
        <f>E22*52.177</f>
        <v>21543.361529999998</v>
      </c>
      <c r="F23" s="10"/>
      <c r="G23" s="10"/>
      <c r="H23" s="10"/>
      <c r="I23" s="10"/>
      <c r="J23" s="11"/>
    </row>
    <row r="24" spans="1:10" x14ac:dyDescent="0.2">
      <c r="A24" s="181" t="s">
        <v>139</v>
      </c>
      <c r="B24" s="242">
        <f>'Key formula data'!B33</f>
        <v>350</v>
      </c>
      <c r="C24" s="242">
        <f>'Key formula data'!$B$34</f>
        <v>500</v>
      </c>
      <c r="D24" s="242">
        <f>'Key formula data'!$B$34</f>
        <v>500</v>
      </c>
      <c r="E24" s="246">
        <f>'Key formula data'!$B$34</f>
        <v>500</v>
      </c>
      <c r="F24" s="10"/>
      <c r="G24" s="10"/>
      <c r="H24" s="10"/>
      <c r="I24" s="10"/>
      <c r="J24" s="11"/>
    </row>
    <row r="25" spans="1:10" x14ac:dyDescent="0.2">
      <c r="A25" s="181" t="s">
        <v>140</v>
      </c>
      <c r="B25" s="242">
        <f>'Key formula data'!C33</f>
        <v>18000</v>
      </c>
      <c r="C25" s="242">
        <f>'Key formula data'!$C$34</f>
        <v>26000</v>
      </c>
      <c r="D25" s="242">
        <f>'Key formula data'!$C$34</f>
        <v>26000</v>
      </c>
      <c r="E25" s="246">
        <f>'Key formula data'!$C$34</f>
        <v>26000</v>
      </c>
      <c r="F25" s="10"/>
      <c r="G25" s="10"/>
      <c r="H25" s="10"/>
      <c r="I25" s="10"/>
      <c r="J25" s="11"/>
    </row>
    <row r="26" spans="1:10" x14ac:dyDescent="0.2">
      <c r="A26" s="247" t="s">
        <v>127</v>
      </c>
      <c r="B26" s="243">
        <f>'Data 2. Target Rents'!D17</f>
        <v>96.88</v>
      </c>
      <c r="C26" s="243">
        <f>'Data 2. Target Rents'!E17</f>
        <v>110.76</v>
      </c>
      <c r="D26" s="243">
        <f>'Data 2. Target Rents'!F17</f>
        <v>124.18</v>
      </c>
      <c r="E26" s="248">
        <f>'Data 2. Target Rents'!G17</f>
        <v>139.69</v>
      </c>
      <c r="F26" s="110"/>
      <c r="G26" s="10"/>
      <c r="H26" s="10"/>
      <c r="I26" s="10"/>
      <c r="J26" s="11"/>
    </row>
    <row r="27" spans="1:10" x14ac:dyDescent="0.2">
      <c r="A27" s="191" t="s">
        <v>21</v>
      </c>
      <c r="B27" s="194">
        <f>C9</f>
        <v>395.34660865898769</v>
      </c>
      <c r="C27" s="194">
        <f>C10</f>
        <v>518.15934223891759</v>
      </c>
      <c r="D27" s="194">
        <f>C11</f>
        <v>720.08739482913927</v>
      </c>
      <c r="E27" s="195">
        <f>C12</f>
        <v>677.76989861433196</v>
      </c>
      <c r="F27" s="110"/>
      <c r="G27" s="10"/>
      <c r="H27" s="10"/>
      <c r="I27" s="10"/>
      <c r="J27" s="11"/>
    </row>
    <row r="28" spans="1:10" x14ac:dyDescent="0.2">
      <c r="A28" s="193" t="s">
        <v>110</v>
      </c>
      <c r="B28" s="194">
        <f>B$27*0.8</f>
        <v>316.27728692719018</v>
      </c>
      <c r="C28" s="194">
        <f>C$27*0.8</f>
        <v>414.52747379113407</v>
      </c>
      <c r="D28" s="194">
        <f>D$27*0.8</f>
        <v>576.06991586331139</v>
      </c>
      <c r="E28" s="195">
        <f>E$27*0.8</f>
        <v>542.21591889146555</v>
      </c>
      <c r="F28" s="110"/>
      <c r="G28" s="10"/>
      <c r="H28" s="10"/>
      <c r="I28" s="10"/>
      <c r="J28" s="11"/>
    </row>
    <row r="29" spans="1:10" x14ac:dyDescent="0.2">
      <c r="A29" s="193" t="s">
        <v>109</v>
      </c>
      <c r="B29" s="194">
        <f>B$27*0.7</f>
        <v>276.74262606129139</v>
      </c>
      <c r="C29" s="194">
        <f>C$27*0.7</f>
        <v>362.71153956724231</v>
      </c>
      <c r="D29" s="194">
        <f>D$27*0.7</f>
        <v>504.06117638039746</v>
      </c>
      <c r="E29" s="195">
        <f>E$27*0.7</f>
        <v>474.43892903003234</v>
      </c>
      <c r="F29" s="110"/>
      <c r="G29" s="110"/>
      <c r="H29" s="10"/>
      <c r="I29" s="10"/>
      <c r="J29" s="11"/>
    </row>
    <row r="30" spans="1:10" x14ac:dyDescent="0.2">
      <c r="A30" s="193" t="s">
        <v>108</v>
      </c>
      <c r="B30" s="194">
        <f>B$27*0.6</f>
        <v>237.2079651953926</v>
      </c>
      <c r="C30" s="194">
        <f>C$27*0.6</f>
        <v>310.89560534335055</v>
      </c>
      <c r="D30" s="194">
        <f>D$27*0.6</f>
        <v>432.05243689748357</v>
      </c>
      <c r="E30" s="195">
        <f>E$27*0.6</f>
        <v>406.66193916859919</v>
      </c>
      <c r="F30" s="110"/>
      <c r="G30" s="110"/>
      <c r="H30" s="10"/>
      <c r="I30" s="10"/>
      <c r="J30" s="11"/>
    </row>
    <row r="31" spans="1:10" x14ac:dyDescent="0.2">
      <c r="A31" s="74" t="s">
        <v>201</v>
      </c>
      <c r="B31" s="194">
        <f>IF(B28&lt;B$22,B28,B$22)</f>
        <v>196.23</v>
      </c>
      <c r="C31" s="194">
        <f>IF(C28&lt;C$22,C28,C$22)</f>
        <v>255.09</v>
      </c>
      <c r="D31" s="194">
        <f>IF(D28&lt;D$22,D28,D$22)</f>
        <v>318</v>
      </c>
      <c r="E31" s="195">
        <f>IF(E28&lt;E$22,E28,E$22)</f>
        <v>412.89</v>
      </c>
      <c r="F31" s="110"/>
      <c r="G31" s="10"/>
      <c r="H31" s="10"/>
      <c r="I31" s="10"/>
      <c r="J31" s="11"/>
    </row>
    <row r="32" spans="1:10" x14ac:dyDescent="0.2">
      <c r="A32" s="74" t="s">
        <v>202</v>
      </c>
      <c r="B32" s="194">
        <f t="shared" ref="B32:E33" si="0">IF(B29&lt;B$22,B29,B$22)</f>
        <v>196.23</v>
      </c>
      <c r="C32" s="194">
        <f t="shared" si="0"/>
        <v>255.09</v>
      </c>
      <c r="D32" s="194">
        <f t="shared" si="0"/>
        <v>318</v>
      </c>
      <c r="E32" s="195">
        <f t="shared" si="0"/>
        <v>412.89</v>
      </c>
      <c r="F32" s="10"/>
      <c r="G32" s="10"/>
      <c r="H32" s="10"/>
      <c r="I32" s="10"/>
      <c r="J32" s="11"/>
    </row>
    <row r="33" spans="1:10" ht="13.5" thickBot="1" x14ac:dyDescent="0.25">
      <c r="A33" s="75" t="s">
        <v>203</v>
      </c>
      <c r="B33" s="249">
        <f t="shared" si="0"/>
        <v>196.23</v>
      </c>
      <c r="C33" s="249">
        <f t="shared" si="0"/>
        <v>255.09</v>
      </c>
      <c r="D33" s="249">
        <f t="shared" si="0"/>
        <v>318</v>
      </c>
      <c r="E33" s="250">
        <f t="shared" si="0"/>
        <v>406.66193916859919</v>
      </c>
      <c r="F33" s="10"/>
      <c r="G33" s="10"/>
      <c r="H33" s="10"/>
      <c r="I33" s="10"/>
      <c r="J33" s="11"/>
    </row>
    <row r="34" spans="1:10" ht="13.5" thickBot="1" x14ac:dyDescent="0.25">
      <c r="A34" s="79"/>
      <c r="B34" s="105"/>
      <c r="C34" s="105"/>
      <c r="D34" s="105"/>
      <c r="E34" s="105"/>
      <c r="F34" s="10"/>
      <c r="G34" s="10"/>
      <c r="H34" s="10"/>
      <c r="I34" s="10"/>
      <c r="J34" s="11"/>
    </row>
    <row r="35" spans="1:10" ht="33" customHeight="1" x14ac:dyDescent="0.3">
      <c r="A35" s="255" t="s">
        <v>198</v>
      </c>
      <c r="B35" s="256" t="str">
        <f>A9</f>
        <v xml:space="preserve">SE1 </v>
      </c>
      <c r="C35" s="413"/>
      <c r="D35" s="413"/>
      <c r="E35" s="414"/>
      <c r="F35" s="10"/>
      <c r="G35" s="10"/>
      <c r="H35" s="10"/>
      <c r="I35" s="10"/>
      <c r="J35" s="11"/>
    </row>
    <row r="36" spans="1:10" x14ac:dyDescent="0.2">
      <c r="A36" s="81" t="s">
        <v>2</v>
      </c>
      <c r="B36" s="73" t="s">
        <v>116</v>
      </c>
      <c r="C36" s="73" t="s">
        <v>129</v>
      </c>
      <c r="D36" s="73" t="s">
        <v>118</v>
      </c>
      <c r="E36" s="82" t="s">
        <v>130</v>
      </c>
      <c r="F36" s="10"/>
      <c r="G36" s="10"/>
      <c r="H36" s="10"/>
      <c r="I36" s="10"/>
      <c r="J36" s="11"/>
    </row>
    <row r="37" spans="1:10" x14ac:dyDescent="0.2">
      <c r="A37" s="74" t="s">
        <v>11</v>
      </c>
      <c r="B37" s="72">
        <f>$B$27*B4</f>
        <v>316.27728692719018</v>
      </c>
      <c r="C37" s="72">
        <f>$C$27*C4</f>
        <v>414.52747379113407</v>
      </c>
      <c r="D37" s="102">
        <f>$D$26</f>
        <v>124.18</v>
      </c>
      <c r="E37" s="103">
        <f>$E$26</f>
        <v>139.69</v>
      </c>
      <c r="F37" s="10"/>
      <c r="G37" s="10"/>
      <c r="H37" s="10"/>
      <c r="I37" s="10"/>
      <c r="J37" s="11"/>
    </row>
    <row r="38" spans="1:10" x14ac:dyDescent="0.2">
      <c r="A38" s="74" t="s">
        <v>12</v>
      </c>
      <c r="B38" s="72">
        <f>B31</f>
        <v>196.23</v>
      </c>
      <c r="C38" s="72">
        <f>C32</f>
        <v>255.09</v>
      </c>
      <c r="D38" s="102">
        <f>$D$26</f>
        <v>124.18</v>
      </c>
      <c r="E38" s="103">
        <f>$E$26</f>
        <v>139.69</v>
      </c>
      <c r="F38" s="10"/>
      <c r="G38" s="10"/>
      <c r="H38" s="10"/>
      <c r="I38" s="10"/>
      <c r="J38" s="11"/>
    </row>
    <row r="39" spans="1:10" x14ac:dyDescent="0.2">
      <c r="A39" s="74" t="s">
        <v>13</v>
      </c>
      <c r="B39" s="72">
        <f>B31</f>
        <v>196.23</v>
      </c>
      <c r="C39" s="72">
        <f>C33</f>
        <v>255.09</v>
      </c>
      <c r="D39" s="102">
        <f>$D$26</f>
        <v>124.18</v>
      </c>
      <c r="E39" s="103">
        <f>$E$26</f>
        <v>139.69</v>
      </c>
      <c r="F39" s="10"/>
      <c r="G39" s="10"/>
      <c r="H39" s="10"/>
      <c r="I39" s="10"/>
      <c r="J39" s="11"/>
    </row>
    <row r="40" spans="1:10" x14ac:dyDescent="0.2">
      <c r="A40" s="74"/>
      <c r="B40" s="2"/>
      <c r="C40" s="2"/>
      <c r="D40" s="2"/>
      <c r="E40" s="104"/>
      <c r="F40" s="10"/>
      <c r="G40" s="10"/>
      <c r="H40" s="10"/>
      <c r="I40" s="10"/>
      <c r="J40" s="11"/>
    </row>
    <row r="41" spans="1:10" x14ac:dyDescent="0.2">
      <c r="A41" s="81" t="s">
        <v>3</v>
      </c>
      <c r="B41" s="73" t="s">
        <v>116</v>
      </c>
      <c r="C41" s="73" t="s">
        <v>129</v>
      </c>
      <c r="D41" s="73" t="s">
        <v>118</v>
      </c>
      <c r="E41" s="82" t="s">
        <v>130</v>
      </c>
      <c r="F41" s="10"/>
      <c r="G41" s="10"/>
      <c r="H41" s="10"/>
      <c r="I41" s="10"/>
      <c r="J41" s="11"/>
    </row>
    <row r="42" spans="1:10" x14ac:dyDescent="0.2">
      <c r="A42" s="74" t="s">
        <v>11</v>
      </c>
      <c r="B42" s="72">
        <f t="shared" ref="B42:E44" si="1">B37*52.177</f>
        <v>16502.400000000001</v>
      </c>
      <c r="C42" s="72">
        <f t="shared" si="1"/>
        <v>21628.800000000003</v>
      </c>
      <c r="D42" s="102">
        <f t="shared" si="1"/>
        <v>6479.33986</v>
      </c>
      <c r="E42" s="103">
        <f t="shared" si="1"/>
        <v>7288.6051299999999</v>
      </c>
      <c r="F42" s="10"/>
      <c r="G42" s="10"/>
      <c r="H42" s="10"/>
      <c r="I42" s="10"/>
      <c r="J42" s="11"/>
    </row>
    <row r="43" spans="1:10" x14ac:dyDescent="0.2">
      <c r="A43" s="74" t="s">
        <v>12</v>
      </c>
      <c r="B43" s="72">
        <f t="shared" si="1"/>
        <v>10238.692709999999</v>
      </c>
      <c r="C43" s="72">
        <f t="shared" si="1"/>
        <v>13309.83093</v>
      </c>
      <c r="D43" s="102">
        <f t="shared" si="1"/>
        <v>6479.33986</v>
      </c>
      <c r="E43" s="103">
        <f t="shared" si="1"/>
        <v>7288.6051299999999</v>
      </c>
      <c r="F43" s="10"/>
      <c r="G43" s="10"/>
      <c r="H43" s="10"/>
      <c r="I43" s="10"/>
      <c r="J43" s="11"/>
    </row>
    <row r="44" spans="1:10" x14ac:dyDescent="0.2">
      <c r="A44" s="74" t="s">
        <v>13</v>
      </c>
      <c r="B44" s="72">
        <f t="shared" si="1"/>
        <v>10238.692709999999</v>
      </c>
      <c r="C44" s="72">
        <f t="shared" si="1"/>
        <v>13309.83093</v>
      </c>
      <c r="D44" s="102">
        <f t="shared" si="1"/>
        <v>6479.33986</v>
      </c>
      <c r="E44" s="103">
        <f t="shared" si="1"/>
        <v>7288.6051299999999</v>
      </c>
      <c r="F44" s="10"/>
      <c r="G44" s="10"/>
      <c r="H44" s="10"/>
      <c r="I44" s="10"/>
      <c r="J44" s="11"/>
    </row>
    <row r="45" spans="1:10" x14ac:dyDescent="0.2">
      <c r="A45" s="74"/>
      <c r="B45" s="2"/>
      <c r="C45" s="2"/>
      <c r="D45" s="2"/>
      <c r="E45" s="104"/>
      <c r="F45" s="10"/>
      <c r="G45" s="10"/>
      <c r="H45" s="10"/>
      <c r="I45" s="10"/>
      <c r="J45" s="11"/>
    </row>
    <row r="46" spans="1:10" x14ac:dyDescent="0.2">
      <c r="A46" s="81" t="s">
        <v>136</v>
      </c>
      <c r="B46" s="73" t="s">
        <v>116</v>
      </c>
      <c r="C46" s="73" t="s">
        <v>129</v>
      </c>
      <c r="D46" s="73" t="s">
        <v>118</v>
      </c>
      <c r="E46" s="82" t="s">
        <v>130</v>
      </c>
      <c r="F46" s="10"/>
      <c r="G46" s="10"/>
      <c r="H46" s="10"/>
      <c r="I46" s="10"/>
      <c r="J46" s="11"/>
    </row>
    <row r="47" spans="1:10" x14ac:dyDescent="0.2">
      <c r="A47" s="74" t="s">
        <v>11</v>
      </c>
      <c r="B47" s="77">
        <f t="shared" ref="B47:E49" si="2">B42*(1/0.25)</f>
        <v>66009.600000000006</v>
      </c>
      <c r="C47" s="77">
        <f t="shared" si="2"/>
        <v>86515.200000000012</v>
      </c>
      <c r="D47" s="77">
        <f t="shared" si="2"/>
        <v>25917.35944</v>
      </c>
      <c r="E47" s="257">
        <f t="shared" si="2"/>
        <v>29154.42052</v>
      </c>
      <c r="F47" s="10"/>
      <c r="G47" s="10"/>
      <c r="H47" s="10"/>
      <c r="I47" s="10"/>
      <c r="J47" s="11"/>
    </row>
    <row r="48" spans="1:10" x14ac:dyDescent="0.2">
      <c r="A48" s="74" t="s">
        <v>12</v>
      </c>
      <c r="B48" s="77">
        <f t="shared" si="2"/>
        <v>40954.770839999997</v>
      </c>
      <c r="C48" s="77">
        <f t="shared" si="2"/>
        <v>53239.32372</v>
      </c>
      <c r="D48" s="77">
        <f t="shared" si="2"/>
        <v>25917.35944</v>
      </c>
      <c r="E48" s="257">
        <f t="shared" si="2"/>
        <v>29154.42052</v>
      </c>
      <c r="F48" s="10"/>
      <c r="G48" s="10"/>
      <c r="H48" s="10"/>
      <c r="I48" s="10"/>
      <c r="J48" s="11"/>
    </row>
    <row r="49" spans="1:10" x14ac:dyDescent="0.2">
      <c r="A49" s="74" t="s">
        <v>13</v>
      </c>
      <c r="B49" s="77">
        <f t="shared" si="2"/>
        <v>40954.770839999997</v>
      </c>
      <c r="C49" s="77">
        <f t="shared" si="2"/>
        <v>53239.32372</v>
      </c>
      <c r="D49" s="77">
        <f t="shared" si="2"/>
        <v>25917.35944</v>
      </c>
      <c r="E49" s="257">
        <f t="shared" si="2"/>
        <v>29154.42052</v>
      </c>
      <c r="F49" s="10"/>
      <c r="G49" s="10"/>
      <c r="H49" s="10"/>
      <c r="I49" s="10"/>
      <c r="J49" s="11"/>
    </row>
    <row r="50" spans="1:10" x14ac:dyDescent="0.2">
      <c r="A50" s="74"/>
      <c r="B50" s="77"/>
      <c r="C50" s="77"/>
      <c r="D50" s="77"/>
      <c r="E50" s="257"/>
      <c r="F50" s="10"/>
      <c r="G50" s="10"/>
      <c r="H50" s="10"/>
      <c r="I50" s="10"/>
      <c r="J50" s="11"/>
    </row>
    <row r="51" spans="1:10" x14ac:dyDescent="0.2">
      <c r="A51" s="81" t="s">
        <v>137</v>
      </c>
      <c r="B51" s="78" t="s">
        <v>116</v>
      </c>
      <c r="C51" s="78" t="s">
        <v>129</v>
      </c>
      <c r="D51" s="73" t="s">
        <v>118</v>
      </c>
      <c r="E51" s="82" t="s">
        <v>130</v>
      </c>
      <c r="F51" s="10"/>
      <c r="G51" s="10"/>
      <c r="H51" s="10"/>
      <c r="I51" s="10"/>
      <c r="J51" s="11"/>
    </row>
    <row r="52" spans="1:10" x14ac:dyDescent="0.2">
      <c r="A52" s="74" t="s">
        <v>11</v>
      </c>
      <c r="B52" s="77">
        <f t="shared" ref="B52:E54" si="3">B42*(1/0.3)</f>
        <v>55008.000000000007</v>
      </c>
      <c r="C52" s="77">
        <f t="shared" si="3"/>
        <v>72096.000000000015</v>
      </c>
      <c r="D52" s="77">
        <f t="shared" si="3"/>
        <v>21597.799533333335</v>
      </c>
      <c r="E52" s="257">
        <f t="shared" si="3"/>
        <v>24295.350433333333</v>
      </c>
      <c r="F52" s="10"/>
      <c r="G52" s="10"/>
      <c r="H52" s="10"/>
      <c r="I52" s="10"/>
      <c r="J52" s="11"/>
    </row>
    <row r="53" spans="1:10" x14ac:dyDescent="0.2">
      <c r="A53" s="74" t="s">
        <v>12</v>
      </c>
      <c r="B53" s="77">
        <f t="shared" si="3"/>
        <v>34128.975700000003</v>
      </c>
      <c r="C53" s="77">
        <f t="shared" si="3"/>
        <v>44366.1031</v>
      </c>
      <c r="D53" s="77">
        <f t="shared" si="3"/>
        <v>21597.799533333335</v>
      </c>
      <c r="E53" s="257">
        <f t="shared" si="3"/>
        <v>24295.350433333333</v>
      </c>
      <c r="F53" s="10"/>
      <c r="G53" s="10"/>
      <c r="H53" s="10"/>
      <c r="I53" s="10"/>
      <c r="J53" s="11"/>
    </row>
    <row r="54" spans="1:10" ht="13.5" thickBot="1" x14ac:dyDescent="0.25">
      <c r="A54" s="75" t="s">
        <v>13</v>
      </c>
      <c r="B54" s="258">
        <f t="shared" si="3"/>
        <v>34128.975700000003</v>
      </c>
      <c r="C54" s="258">
        <f t="shared" si="3"/>
        <v>44366.1031</v>
      </c>
      <c r="D54" s="258">
        <f t="shared" si="3"/>
        <v>21597.799533333335</v>
      </c>
      <c r="E54" s="259">
        <f t="shared" si="3"/>
        <v>24295.350433333333</v>
      </c>
      <c r="F54" s="10"/>
      <c r="G54" s="10"/>
      <c r="H54" s="10"/>
      <c r="I54" s="10"/>
      <c r="J54" s="11"/>
    </row>
    <row r="55" spans="1:10" x14ac:dyDescent="0.2">
      <c r="A55" s="112"/>
      <c r="B55" s="10"/>
      <c r="C55" s="10"/>
      <c r="D55" s="10"/>
      <c r="E55" s="10"/>
      <c r="F55" s="10"/>
      <c r="G55" s="10"/>
      <c r="H55" s="10"/>
      <c r="I55" s="10"/>
      <c r="J55" s="11"/>
    </row>
    <row r="56" spans="1:10" ht="13.5" thickBot="1" x14ac:dyDescent="0.25">
      <c r="A56" s="114"/>
      <c r="B56" s="13"/>
      <c r="C56" s="13"/>
      <c r="D56" s="13"/>
      <c r="E56" s="13"/>
      <c r="F56" s="13"/>
      <c r="G56" s="13"/>
      <c r="H56" s="13"/>
      <c r="I56" s="13"/>
      <c r="J56" s="14"/>
    </row>
  </sheetData>
  <mergeCells count="3">
    <mergeCell ref="A10:A12"/>
    <mergeCell ref="C35:E35"/>
    <mergeCell ref="A14:H14"/>
  </mergeCells>
  <phoneticPr fontId="0" type="noConversion"/>
  <conditionalFormatting sqref="B37:B39 B27:B33">
    <cfRule type="cellIs" dxfId="17" priority="1" stopIfTrue="1" operator="greaterThan">
      <formula>$B$22</formula>
    </cfRule>
    <cfRule type="cellIs" dxfId="16" priority="2" stopIfTrue="1" operator="equal">
      <formula>$B$22</formula>
    </cfRule>
  </conditionalFormatting>
  <conditionalFormatting sqref="C37:C39 C27:C33">
    <cfRule type="cellIs" dxfId="15" priority="3" stopIfTrue="1" operator="greaterThan">
      <formula>$C$22</formula>
    </cfRule>
    <cfRule type="cellIs" dxfId="14" priority="4" stopIfTrue="1" operator="equal">
      <formula>$C$22</formula>
    </cfRule>
  </conditionalFormatting>
  <conditionalFormatting sqref="D27:D33">
    <cfRule type="cellIs" dxfId="13" priority="5" stopIfTrue="1" operator="greaterThan">
      <formula>$D$22</formula>
    </cfRule>
    <cfRule type="cellIs" dxfId="12" priority="6" stopIfTrue="1" operator="equal">
      <formula>$D$22</formula>
    </cfRule>
  </conditionalFormatting>
  <conditionalFormatting sqref="E27:E33">
    <cfRule type="cellIs" dxfId="11" priority="7" stopIfTrue="1" operator="greaterThan">
      <formula>$E$22</formula>
    </cfRule>
    <cfRule type="cellIs" dxfId="10" priority="8" stopIfTrue="1" operator="equal">
      <formula>$E$22</formula>
    </cfRule>
  </conditionalFormatting>
  <conditionalFormatting sqref="B50">
    <cfRule type="cellIs" dxfId="9" priority="9" stopIfTrue="1" operator="greaterThan">
      <formula>$B$25</formula>
    </cfRule>
    <cfRule type="cellIs" dxfId="8" priority="10" stopIfTrue="1" operator="equal">
      <formula>$B$22</formula>
    </cfRule>
  </conditionalFormatting>
  <conditionalFormatting sqref="C52:E54 C47:E50">
    <cfRule type="cellIs" dxfId="7" priority="11" stopIfTrue="1" operator="greaterThan">
      <formula>$C$25</formula>
    </cfRule>
  </conditionalFormatting>
  <conditionalFormatting sqref="B47:B49 B52:B54">
    <cfRule type="cellIs" dxfId="6" priority="12" stopIfTrue="1" operator="greaterThan">
      <formula>$B$25</formula>
    </cfRule>
  </conditionalFormatting>
  <conditionalFormatting sqref="B42:B44">
    <cfRule type="cellIs" dxfId="5" priority="13" stopIfTrue="1" operator="greaterThan">
      <formula>$B$23</formula>
    </cfRule>
    <cfRule type="cellIs" dxfId="4" priority="14" stopIfTrue="1" operator="equal">
      <formula>$B$23</formula>
    </cfRule>
  </conditionalFormatting>
  <conditionalFormatting sqref="C42:C44">
    <cfRule type="cellIs" dxfId="3" priority="15" stopIfTrue="1" operator="greaterThan">
      <formula>$C$23</formula>
    </cfRule>
    <cfRule type="cellIs" dxfId="2" priority="16" stopIfTrue="1" operator="equal">
      <formula>$C$23</formula>
    </cfRule>
  </conditionalFormatting>
  <dataValidations count="1">
    <dataValidation type="list" allowBlank="1" showInputMessage="1" showErrorMessage="1" sqref="A9">
      <formula1>$G$3:$G$12</formula1>
    </dataValidation>
  </dataValidations>
  <pageMargins left="0.75" right="0.75" top="1" bottom="1" header="0.5" footer="0.5"/>
  <pageSetup paperSize="9" scale="56"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U86"/>
  <sheetViews>
    <sheetView zoomScaleNormal="100" workbookViewId="0"/>
  </sheetViews>
  <sheetFormatPr defaultRowHeight="12.75" x14ac:dyDescent="0.2"/>
  <cols>
    <col min="1" max="1" width="22.28515625" style="22" customWidth="1"/>
    <col min="2" max="2" width="12.5703125" style="22" customWidth="1"/>
    <col min="3" max="3" width="9.7109375" style="22" customWidth="1"/>
    <col min="4" max="5" width="9.28515625" style="22" bestFit="1" customWidth="1"/>
    <col min="6" max="6" width="9.5703125" style="22" bestFit="1" customWidth="1"/>
    <col min="7" max="7" width="9.28515625" style="22" bestFit="1" customWidth="1"/>
    <col min="8" max="8" width="9.5703125" style="22" bestFit="1" customWidth="1"/>
    <col min="9" max="9" width="11.42578125" style="22" customWidth="1"/>
    <col min="10" max="10" width="9.5703125" style="22" bestFit="1" customWidth="1"/>
    <col min="11" max="11" width="9.28515625" style="22" bestFit="1" customWidth="1"/>
    <col min="12" max="12" width="9.5703125" style="22" bestFit="1" customWidth="1"/>
    <col min="13" max="13" width="9.28515625" style="22" bestFit="1" customWidth="1"/>
    <col min="14" max="14" width="9.5703125" style="22" bestFit="1" customWidth="1"/>
    <col min="15" max="15" width="11.28515625" style="22" customWidth="1"/>
    <col min="16" max="17" width="9.28515625" style="22" bestFit="1" customWidth="1"/>
    <col min="18" max="18" width="9.5703125" style="22" bestFit="1" customWidth="1"/>
    <col min="19" max="19" width="9.28515625" style="22" bestFit="1" customWidth="1"/>
    <col min="20" max="20" width="9.5703125" style="22" bestFit="1" customWidth="1"/>
    <col min="21" max="21" width="9.28515625" style="22" bestFit="1" customWidth="1"/>
    <col min="22" max="16384" width="9.140625" style="22"/>
  </cols>
  <sheetData>
    <row r="1" spans="1:21" ht="20.25" x14ac:dyDescent="0.3">
      <c r="A1" s="39" t="s">
        <v>123</v>
      </c>
    </row>
    <row r="2" spans="1:21" ht="15.75" customHeight="1" x14ac:dyDescent="0.2">
      <c r="A2" s="430" t="s">
        <v>192</v>
      </c>
      <c r="B2" s="431"/>
      <c r="C2" s="431"/>
      <c r="D2" s="431"/>
      <c r="E2" s="431"/>
      <c r="F2" s="431"/>
      <c r="G2" s="431"/>
      <c r="H2" s="431"/>
      <c r="I2" s="431"/>
      <c r="J2" s="431"/>
      <c r="K2" s="431"/>
      <c r="L2" s="431"/>
      <c r="M2" s="431"/>
      <c r="N2" s="431"/>
      <c r="O2" s="431"/>
      <c r="P2" s="431"/>
      <c r="Q2" s="431"/>
      <c r="R2" s="431"/>
      <c r="S2" s="431"/>
      <c r="T2" s="431"/>
      <c r="U2" s="431"/>
    </row>
    <row r="3" spans="1:21" ht="15.75" customHeight="1" x14ac:dyDescent="0.2">
      <c r="A3" s="419" t="s">
        <v>224</v>
      </c>
      <c r="B3" s="419"/>
      <c r="C3" s="419"/>
      <c r="D3" s="261"/>
      <c r="E3" s="261"/>
      <c r="F3" s="261"/>
      <c r="G3" s="261"/>
      <c r="H3" s="261"/>
      <c r="I3" s="261"/>
      <c r="J3" s="261"/>
      <c r="K3" s="261"/>
      <c r="L3" s="261"/>
      <c r="M3" s="261"/>
      <c r="N3" s="261"/>
      <c r="O3" s="261"/>
      <c r="P3" s="261"/>
      <c r="Q3" s="261"/>
      <c r="R3" s="261"/>
      <c r="S3" s="261"/>
      <c r="T3" s="261"/>
      <c r="U3" s="261"/>
    </row>
    <row r="4" spans="1:21" x14ac:dyDescent="0.2">
      <c r="A4" s="433" t="s">
        <v>191</v>
      </c>
      <c r="B4" s="417" t="s">
        <v>79</v>
      </c>
      <c r="C4" s="418"/>
      <c r="D4" s="47" t="s">
        <v>81</v>
      </c>
      <c r="E4" s="47"/>
      <c r="F4" s="437" t="s">
        <v>82</v>
      </c>
      <c r="G4" s="437"/>
      <c r="H4" s="47" t="s">
        <v>95</v>
      </c>
      <c r="I4" s="47"/>
      <c r="J4" s="426" t="s">
        <v>96</v>
      </c>
      <c r="K4" s="426"/>
      <c r="L4" s="47" t="s">
        <v>97</v>
      </c>
      <c r="M4" s="47"/>
      <c r="N4" s="29" t="s">
        <v>98</v>
      </c>
      <c r="O4" s="27"/>
      <c r="P4" s="47" t="s">
        <v>99</v>
      </c>
      <c r="Q4" s="47"/>
      <c r="R4" s="426" t="s">
        <v>100</v>
      </c>
      <c r="S4" s="426"/>
      <c r="T4" s="47" t="s">
        <v>101</v>
      </c>
      <c r="U4" s="47"/>
    </row>
    <row r="5" spans="1:21" x14ac:dyDescent="0.2">
      <c r="A5" s="434"/>
      <c r="B5" s="51" t="s">
        <v>23</v>
      </c>
      <c r="C5" s="51" t="s">
        <v>22</v>
      </c>
      <c r="D5" s="48" t="s">
        <v>23</v>
      </c>
      <c r="E5" s="48" t="s">
        <v>22</v>
      </c>
      <c r="F5" s="23" t="s">
        <v>23</v>
      </c>
      <c r="G5" s="23" t="s">
        <v>22</v>
      </c>
      <c r="H5" s="48" t="s">
        <v>23</v>
      </c>
      <c r="I5" s="48" t="s">
        <v>22</v>
      </c>
      <c r="J5" s="23" t="s">
        <v>23</v>
      </c>
      <c r="K5" s="23" t="s">
        <v>22</v>
      </c>
      <c r="L5" s="48" t="s">
        <v>23</v>
      </c>
      <c r="M5" s="48" t="s">
        <v>22</v>
      </c>
      <c r="N5" s="23" t="s">
        <v>23</v>
      </c>
      <c r="O5" s="23" t="s">
        <v>22</v>
      </c>
      <c r="P5" s="48" t="s">
        <v>23</v>
      </c>
      <c r="Q5" s="48" t="s">
        <v>22</v>
      </c>
      <c r="R5" s="23" t="s">
        <v>23</v>
      </c>
      <c r="S5" s="23" t="s">
        <v>22</v>
      </c>
      <c r="T5" s="48" t="s">
        <v>23</v>
      </c>
      <c r="U5" s="48" t="s">
        <v>22</v>
      </c>
    </row>
    <row r="6" spans="1:21" x14ac:dyDescent="0.2">
      <c r="A6" s="420" t="s">
        <v>65</v>
      </c>
      <c r="B6" s="420"/>
      <c r="C6" s="420"/>
      <c r="D6" s="30"/>
      <c r="E6" s="30"/>
      <c r="F6" s="30"/>
      <c r="G6" s="30"/>
      <c r="H6" s="30"/>
      <c r="I6" s="30"/>
      <c r="J6" s="30"/>
      <c r="K6" s="30"/>
      <c r="L6" s="30"/>
      <c r="M6" s="30"/>
      <c r="N6" s="30"/>
      <c r="O6" s="30"/>
      <c r="P6" s="30"/>
      <c r="Q6" s="30"/>
      <c r="R6" s="30"/>
      <c r="S6" s="30"/>
      <c r="T6" s="30"/>
      <c r="U6" s="30"/>
    </row>
    <row r="7" spans="1:21" x14ac:dyDescent="0.2">
      <c r="A7" s="23" t="s">
        <v>66</v>
      </c>
      <c r="B7" s="52">
        <v>33100</v>
      </c>
      <c r="C7" s="52">
        <v>19200</v>
      </c>
      <c r="D7" s="49">
        <v>27800</v>
      </c>
      <c r="E7" s="49">
        <v>19200</v>
      </c>
      <c r="F7" s="24">
        <v>28800</v>
      </c>
      <c r="G7" s="24">
        <v>11700</v>
      </c>
      <c r="H7" s="49">
        <v>76500</v>
      </c>
      <c r="I7" s="49">
        <v>29400</v>
      </c>
      <c r="J7" s="24">
        <v>20400</v>
      </c>
      <c r="K7" s="24">
        <v>11700</v>
      </c>
      <c r="L7" s="49">
        <v>39900</v>
      </c>
      <c r="M7" s="49">
        <v>22200</v>
      </c>
      <c r="N7" s="24">
        <v>33100</v>
      </c>
      <c r="O7" s="24">
        <v>19200</v>
      </c>
      <c r="P7" s="49">
        <v>25800</v>
      </c>
      <c r="Q7" s="49">
        <v>14300</v>
      </c>
      <c r="R7" s="24">
        <v>32700</v>
      </c>
      <c r="S7" s="24">
        <v>16800</v>
      </c>
      <c r="T7" s="49">
        <v>22800</v>
      </c>
      <c r="U7" s="49">
        <v>16800</v>
      </c>
    </row>
    <row r="8" spans="1:21" x14ac:dyDescent="0.2">
      <c r="A8" s="23" t="s">
        <v>67</v>
      </c>
      <c r="B8" s="52">
        <v>64200</v>
      </c>
      <c r="C8" s="52">
        <v>46000</v>
      </c>
      <c r="D8" s="49">
        <v>27800</v>
      </c>
      <c r="E8" s="49">
        <v>22200</v>
      </c>
      <c r="F8" s="24">
        <v>43800</v>
      </c>
      <c r="G8" s="24">
        <v>25800</v>
      </c>
      <c r="H8" s="49">
        <v>96100</v>
      </c>
      <c r="I8" s="49">
        <v>90000</v>
      </c>
      <c r="J8" s="24">
        <v>51800</v>
      </c>
      <c r="K8" s="24">
        <v>38000</v>
      </c>
      <c r="L8" s="49">
        <v>78800</v>
      </c>
      <c r="M8" s="49">
        <v>54000</v>
      </c>
      <c r="N8" s="24">
        <v>64200</v>
      </c>
      <c r="O8" s="24">
        <v>46000</v>
      </c>
      <c r="P8" s="49">
        <v>37300</v>
      </c>
      <c r="Q8" s="49">
        <v>33600</v>
      </c>
      <c r="R8" s="24">
        <v>79300</v>
      </c>
      <c r="S8" s="24">
        <v>67500</v>
      </c>
      <c r="T8" s="49">
        <v>48900</v>
      </c>
      <c r="U8" s="49">
        <v>35200</v>
      </c>
    </row>
    <row r="9" spans="1:21" x14ac:dyDescent="0.2">
      <c r="A9" s="23" t="s">
        <v>68</v>
      </c>
      <c r="B9" s="52">
        <v>14800</v>
      </c>
      <c r="C9" s="52">
        <v>9100</v>
      </c>
      <c r="D9" s="49">
        <v>20000</v>
      </c>
      <c r="E9" s="49">
        <v>14300</v>
      </c>
      <c r="F9" s="24">
        <v>16600</v>
      </c>
      <c r="G9" s="24">
        <v>9100</v>
      </c>
      <c r="H9" s="49">
        <v>13200</v>
      </c>
      <c r="I9" s="49">
        <v>9100</v>
      </c>
      <c r="J9" s="24">
        <v>13400</v>
      </c>
      <c r="K9" s="24">
        <v>9100</v>
      </c>
      <c r="L9" s="49">
        <v>11600</v>
      </c>
      <c r="M9" s="49">
        <v>11700</v>
      </c>
      <c r="N9" s="24">
        <v>14800</v>
      </c>
      <c r="O9" s="24">
        <v>9100</v>
      </c>
      <c r="P9" s="49">
        <v>16500</v>
      </c>
      <c r="Q9" s="49">
        <v>11700</v>
      </c>
      <c r="R9" s="24">
        <v>15300</v>
      </c>
      <c r="S9" s="24">
        <v>9100</v>
      </c>
      <c r="T9" s="49">
        <v>15900</v>
      </c>
      <c r="U9" s="49">
        <v>9100</v>
      </c>
    </row>
    <row r="10" spans="1:21" x14ac:dyDescent="0.2">
      <c r="A10" s="23" t="s">
        <v>69</v>
      </c>
      <c r="B10" s="52">
        <v>18500</v>
      </c>
      <c r="C10" s="52">
        <v>14300</v>
      </c>
      <c r="D10" s="50" t="s">
        <v>80</v>
      </c>
      <c r="E10" s="50" t="s">
        <v>80</v>
      </c>
      <c r="F10" s="24">
        <v>21000</v>
      </c>
      <c r="G10" s="24">
        <v>14300</v>
      </c>
      <c r="H10" s="50">
        <v>22500</v>
      </c>
      <c r="I10" s="50">
        <v>9100</v>
      </c>
      <c r="J10" s="24">
        <v>19900</v>
      </c>
      <c r="K10" s="24">
        <v>16800</v>
      </c>
      <c r="L10" s="50">
        <v>17900</v>
      </c>
      <c r="M10" s="50">
        <v>9100</v>
      </c>
      <c r="N10" s="24">
        <v>18500</v>
      </c>
      <c r="O10" s="24">
        <v>14300</v>
      </c>
      <c r="P10" s="50">
        <v>23200</v>
      </c>
      <c r="Q10" s="50">
        <v>16800</v>
      </c>
      <c r="R10" s="24">
        <v>16800</v>
      </c>
      <c r="S10" s="24">
        <v>9100</v>
      </c>
      <c r="T10" s="50">
        <v>14200</v>
      </c>
      <c r="U10" s="50">
        <v>9100</v>
      </c>
    </row>
    <row r="11" spans="1:21" x14ac:dyDescent="0.2">
      <c r="A11" s="23" t="s">
        <v>70</v>
      </c>
      <c r="B11" s="52">
        <v>31700</v>
      </c>
      <c r="C11" s="52">
        <v>22200</v>
      </c>
      <c r="D11" s="49">
        <v>32500</v>
      </c>
      <c r="E11" s="49">
        <v>16800</v>
      </c>
      <c r="F11" s="24">
        <v>31300</v>
      </c>
      <c r="G11" s="24">
        <v>22200</v>
      </c>
      <c r="H11" s="49">
        <v>40600</v>
      </c>
      <c r="I11" s="49">
        <v>33600</v>
      </c>
      <c r="J11" s="24">
        <v>27000</v>
      </c>
      <c r="K11" s="24">
        <v>19200</v>
      </c>
      <c r="L11" s="49">
        <v>45100</v>
      </c>
      <c r="M11" s="49">
        <v>33600</v>
      </c>
      <c r="N11" s="24">
        <v>31700</v>
      </c>
      <c r="O11" s="24">
        <v>22200</v>
      </c>
      <c r="P11" s="49">
        <v>21100</v>
      </c>
      <c r="Q11" s="49">
        <v>16800</v>
      </c>
      <c r="R11" s="24">
        <v>42400</v>
      </c>
      <c r="S11" s="24">
        <v>38000</v>
      </c>
      <c r="T11" s="49">
        <v>24200</v>
      </c>
      <c r="U11" s="49">
        <v>19200</v>
      </c>
    </row>
    <row r="12" spans="1:21" x14ac:dyDescent="0.2">
      <c r="A12" s="420" t="s">
        <v>71</v>
      </c>
      <c r="B12" s="420"/>
      <c r="C12" s="420"/>
      <c r="D12" s="30"/>
      <c r="E12" s="30"/>
      <c r="F12" s="31"/>
      <c r="G12" s="31"/>
      <c r="H12" s="30"/>
      <c r="I12" s="30"/>
      <c r="J12" s="31"/>
      <c r="K12" s="31"/>
      <c r="L12" s="30"/>
      <c r="M12" s="30"/>
      <c r="N12" s="31"/>
      <c r="O12" s="31"/>
      <c r="P12" s="30"/>
      <c r="Q12" s="30"/>
      <c r="R12" s="31"/>
      <c r="S12" s="31"/>
      <c r="T12" s="30"/>
      <c r="U12" s="30"/>
    </row>
    <row r="13" spans="1:21" x14ac:dyDescent="0.2">
      <c r="A13" s="23" t="s">
        <v>72</v>
      </c>
      <c r="B13" s="52">
        <v>22700</v>
      </c>
      <c r="C13" s="52">
        <v>16800</v>
      </c>
      <c r="D13" s="49">
        <v>14900</v>
      </c>
      <c r="E13" s="49">
        <v>11700</v>
      </c>
      <c r="F13" s="24">
        <v>21700</v>
      </c>
      <c r="G13" s="24">
        <v>14300</v>
      </c>
      <c r="H13" s="49">
        <v>28900</v>
      </c>
      <c r="I13" s="49">
        <v>22200</v>
      </c>
      <c r="J13" s="24">
        <v>18200</v>
      </c>
      <c r="K13" s="24">
        <v>14300</v>
      </c>
      <c r="L13" s="49">
        <v>31200</v>
      </c>
      <c r="M13" s="49">
        <v>25800</v>
      </c>
      <c r="N13" s="24">
        <v>22400</v>
      </c>
      <c r="O13" s="24">
        <v>22200</v>
      </c>
      <c r="P13" s="49">
        <v>14900</v>
      </c>
      <c r="Q13" s="49">
        <v>14300</v>
      </c>
      <c r="R13" s="24">
        <v>28600</v>
      </c>
      <c r="S13" s="24">
        <v>16800</v>
      </c>
      <c r="T13" s="49">
        <v>18000</v>
      </c>
      <c r="U13" s="49">
        <v>17000</v>
      </c>
    </row>
    <row r="14" spans="1:21" x14ac:dyDescent="0.2">
      <c r="A14" s="23" t="s">
        <v>73</v>
      </c>
      <c r="B14" s="52">
        <v>12400</v>
      </c>
      <c r="C14" s="52">
        <v>9100</v>
      </c>
      <c r="D14" s="49">
        <v>10400</v>
      </c>
      <c r="E14" s="49">
        <v>9100</v>
      </c>
      <c r="F14" s="24">
        <v>11800</v>
      </c>
      <c r="G14" s="24">
        <v>9100</v>
      </c>
      <c r="H14" s="49">
        <v>11800</v>
      </c>
      <c r="I14" s="49">
        <v>9100</v>
      </c>
      <c r="J14" s="24">
        <v>11100</v>
      </c>
      <c r="K14" s="24">
        <v>9100</v>
      </c>
      <c r="L14" s="49">
        <v>21000</v>
      </c>
      <c r="M14" s="49">
        <v>11700</v>
      </c>
      <c r="N14" s="24">
        <v>13700</v>
      </c>
      <c r="O14" s="24">
        <v>9100</v>
      </c>
      <c r="P14" s="49">
        <v>12900</v>
      </c>
      <c r="Q14" s="49">
        <v>9100</v>
      </c>
      <c r="R14" s="24">
        <v>9800</v>
      </c>
      <c r="S14" s="24">
        <v>9100</v>
      </c>
      <c r="T14" s="49">
        <v>10500</v>
      </c>
      <c r="U14" s="49">
        <v>9100</v>
      </c>
    </row>
    <row r="15" spans="1:21" x14ac:dyDescent="0.2">
      <c r="A15" s="23" t="s">
        <v>74</v>
      </c>
      <c r="B15" s="52">
        <v>55200</v>
      </c>
      <c r="C15" s="52">
        <v>46000</v>
      </c>
      <c r="D15" s="49">
        <v>43700</v>
      </c>
      <c r="E15" s="49">
        <v>33600</v>
      </c>
      <c r="F15" s="24">
        <v>46600</v>
      </c>
      <c r="G15" s="24">
        <v>38000</v>
      </c>
      <c r="H15" s="49">
        <v>79200</v>
      </c>
      <c r="I15" s="49">
        <v>62500</v>
      </c>
      <c r="J15" s="24">
        <v>46300</v>
      </c>
      <c r="K15" s="24">
        <v>46000</v>
      </c>
      <c r="L15" s="49">
        <v>75400</v>
      </c>
      <c r="M15" s="49">
        <v>62500</v>
      </c>
      <c r="N15" s="24">
        <v>43200</v>
      </c>
      <c r="O15" s="24">
        <v>38000</v>
      </c>
      <c r="P15" s="49">
        <v>37000</v>
      </c>
      <c r="Q15" s="49">
        <v>29400</v>
      </c>
      <c r="R15" s="24">
        <v>62500</v>
      </c>
      <c r="S15" s="24">
        <v>46000</v>
      </c>
      <c r="T15" s="49">
        <v>44900</v>
      </c>
      <c r="U15" s="49">
        <v>38000</v>
      </c>
    </row>
    <row r="16" spans="1:21" x14ac:dyDescent="0.2">
      <c r="A16" s="23" t="s">
        <v>75</v>
      </c>
      <c r="B16" s="52">
        <v>48300</v>
      </c>
      <c r="C16" s="52">
        <v>29400</v>
      </c>
      <c r="D16" s="49">
        <v>33700</v>
      </c>
      <c r="E16" s="49">
        <v>22200</v>
      </c>
      <c r="F16" s="24">
        <v>29300</v>
      </c>
      <c r="G16" s="24">
        <v>25800</v>
      </c>
      <c r="H16" s="49">
        <v>65600</v>
      </c>
      <c r="I16" s="49">
        <v>22200</v>
      </c>
      <c r="J16" s="24">
        <v>38400</v>
      </c>
      <c r="K16" s="24">
        <v>25800</v>
      </c>
      <c r="L16" s="49">
        <v>98000</v>
      </c>
      <c r="M16" s="49">
        <v>67500</v>
      </c>
      <c r="N16" s="24">
        <v>41400</v>
      </c>
      <c r="O16" s="24">
        <v>33600</v>
      </c>
      <c r="P16" s="49">
        <v>23400</v>
      </c>
      <c r="Q16" s="49">
        <v>22200</v>
      </c>
      <c r="R16" s="24">
        <v>47600</v>
      </c>
      <c r="S16" s="24">
        <v>38000</v>
      </c>
      <c r="T16" s="49">
        <v>30000</v>
      </c>
      <c r="U16" s="49">
        <v>22200</v>
      </c>
    </row>
    <row r="17" spans="1:21" x14ac:dyDescent="0.2">
      <c r="A17" s="23" t="s">
        <v>76</v>
      </c>
      <c r="B17" s="52">
        <v>35000</v>
      </c>
      <c r="C17" s="52">
        <v>25800</v>
      </c>
      <c r="D17" s="49">
        <v>28900</v>
      </c>
      <c r="E17" s="49">
        <v>22200</v>
      </c>
      <c r="F17" s="24">
        <v>31500</v>
      </c>
      <c r="G17" s="24">
        <v>22200</v>
      </c>
      <c r="H17" s="49">
        <v>30600</v>
      </c>
      <c r="I17" s="49">
        <v>29400</v>
      </c>
      <c r="J17" s="24">
        <v>31800</v>
      </c>
      <c r="K17" s="24">
        <v>25800</v>
      </c>
      <c r="L17" s="49">
        <v>48000</v>
      </c>
      <c r="M17" s="49">
        <v>33600</v>
      </c>
      <c r="N17" s="24">
        <v>42400</v>
      </c>
      <c r="O17" s="24">
        <v>25800</v>
      </c>
      <c r="P17" s="49">
        <v>29500</v>
      </c>
      <c r="Q17" s="49">
        <v>25800</v>
      </c>
      <c r="R17" s="24">
        <v>45700</v>
      </c>
      <c r="S17" s="24">
        <v>33600</v>
      </c>
      <c r="T17" s="49">
        <v>25800</v>
      </c>
      <c r="U17" s="49">
        <v>22200</v>
      </c>
    </row>
    <row r="18" spans="1:21" x14ac:dyDescent="0.2">
      <c r="A18" s="23" t="s">
        <v>77</v>
      </c>
      <c r="B18" s="52">
        <v>22100</v>
      </c>
      <c r="C18" s="52">
        <v>16800</v>
      </c>
      <c r="D18" s="49">
        <v>14100</v>
      </c>
      <c r="E18" s="49">
        <v>16800</v>
      </c>
      <c r="F18" s="24">
        <v>19100</v>
      </c>
      <c r="G18" s="24">
        <v>16800</v>
      </c>
      <c r="H18" s="49">
        <v>19800</v>
      </c>
      <c r="I18" s="49">
        <v>19200</v>
      </c>
      <c r="J18" s="24">
        <v>13600</v>
      </c>
      <c r="K18" s="24">
        <v>14300</v>
      </c>
      <c r="L18" s="49">
        <v>79100</v>
      </c>
      <c r="M18" s="49">
        <v>67500</v>
      </c>
      <c r="N18" s="24">
        <v>12500</v>
      </c>
      <c r="O18" s="24">
        <v>14300</v>
      </c>
      <c r="P18" s="49">
        <v>15300</v>
      </c>
      <c r="Q18" s="49">
        <v>22200</v>
      </c>
      <c r="R18" s="24">
        <v>15900</v>
      </c>
      <c r="S18" s="24">
        <v>14300</v>
      </c>
      <c r="T18" s="49">
        <v>12400</v>
      </c>
      <c r="U18" s="49">
        <v>16800</v>
      </c>
    </row>
    <row r="19" spans="1:21" x14ac:dyDescent="0.2">
      <c r="A19" s="23" t="s">
        <v>78</v>
      </c>
      <c r="B19" s="52">
        <v>11400</v>
      </c>
      <c r="C19" s="52">
        <v>6500</v>
      </c>
      <c r="D19" s="49">
        <v>8200</v>
      </c>
      <c r="E19" s="49">
        <v>6500</v>
      </c>
      <c r="F19" s="24">
        <v>14100</v>
      </c>
      <c r="G19" s="24">
        <v>11700</v>
      </c>
      <c r="H19" s="49">
        <v>9100</v>
      </c>
      <c r="I19" s="49">
        <v>6500</v>
      </c>
      <c r="J19" s="24">
        <v>7500</v>
      </c>
      <c r="K19" s="24">
        <v>6500</v>
      </c>
      <c r="L19" s="49">
        <v>15500</v>
      </c>
      <c r="M19" s="49">
        <v>9100</v>
      </c>
      <c r="N19" s="24">
        <v>10900</v>
      </c>
      <c r="O19" s="24">
        <v>9100</v>
      </c>
      <c r="P19" s="49">
        <v>8000</v>
      </c>
      <c r="Q19" s="49">
        <v>6500</v>
      </c>
      <c r="R19" s="24">
        <v>13600</v>
      </c>
      <c r="S19" s="24">
        <v>6500</v>
      </c>
      <c r="T19" s="49">
        <v>9000</v>
      </c>
      <c r="U19" s="49">
        <v>6500</v>
      </c>
    </row>
    <row r="20" spans="1:21" x14ac:dyDescent="0.2">
      <c r="A20" s="25" t="s">
        <v>79</v>
      </c>
      <c r="B20" s="26">
        <v>29800</v>
      </c>
      <c r="C20" s="26">
        <v>16800</v>
      </c>
      <c r="D20" s="26">
        <v>21500</v>
      </c>
      <c r="E20" s="26">
        <v>16800</v>
      </c>
      <c r="F20" s="26">
        <v>26100</v>
      </c>
      <c r="G20" s="26">
        <v>16800</v>
      </c>
      <c r="H20" s="26">
        <v>36600</v>
      </c>
      <c r="I20" s="26">
        <v>19200</v>
      </c>
      <c r="J20" s="26">
        <v>24400</v>
      </c>
      <c r="K20" s="26">
        <v>14300</v>
      </c>
      <c r="L20" s="26">
        <v>49700</v>
      </c>
      <c r="M20" s="26">
        <v>33600</v>
      </c>
      <c r="N20" s="26">
        <v>26500</v>
      </c>
      <c r="O20" s="26">
        <v>16800</v>
      </c>
      <c r="P20" s="26">
        <v>19900</v>
      </c>
      <c r="Q20" s="26">
        <v>14300</v>
      </c>
      <c r="R20" s="26">
        <v>35000</v>
      </c>
      <c r="S20" s="26">
        <v>19200</v>
      </c>
      <c r="T20" s="26">
        <v>21000</v>
      </c>
      <c r="U20" s="26">
        <v>14300</v>
      </c>
    </row>
    <row r="22" spans="1:21" s="28" customFormat="1" ht="25.5" x14ac:dyDescent="0.2">
      <c r="A22" s="101" t="s">
        <v>188</v>
      </c>
      <c r="B22" s="438" t="s">
        <v>36</v>
      </c>
      <c r="C22" s="438"/>
      <c r="D22" s="428" t="s">
        <v>92</v>
      </c>
      <c r="E22" s="428"/>
      <c r="F22" s="427" t="s">
        <v>82</v>
      </c>
      <c r="G22" s="427"/>
      <c r="H22" s="428" t="s">
        <v>95</v>
      </c>
      <c r="I22" s="428"/>
      <c r="J22" s="429" t="s">
        <v>96</v>
      </c>
      <c r="K22" s="429"/>
      <c r="L22" s="428" t="s">
        <v>97</v>
      </c>
      <c r="M22" s="428"/>
      <c r="N22" s="33" t="s">
        <v>98</v>
      </c>
      <c r="O22" s="32"/>
      <c r="P22" s="428" t="s">
        <v>99</v>
      </c>
      <c r="Q22" s="428"/>
      <c r="R22" s="429" t="s">
        <v>100</v>
      </c>
      <c r="S22" s="429"/>
      <c r="T22" s="428" t="s">
        <v>101</v>
      </c>
      <c r="U22" s="428"/>
    </row>
    <row r="23" spans="1:21" x14ac:dyDescent="0.2">
      <c r="A23" s="59"/>
      <c r="B23" s="60" t="s">
        <v>93</v>
      </c>
      <c r="C23" s="60" t="s">
        <v>94</v>
      </c>
      <c r="D23" s="60" t="s">
        <v>93</v>
      </c>
      <c r="E23" s="60" t="s">
        <v>94</v>
      </c>
      <c r="F23" s="60" t="s">
        <v>93</v>
      </c>
      <c r="G23" s="60" t="s">
        <v>94</v>
      </c>
      <c r="H23" s="60" t="s">
        <v>93</v>
      </c>
      <c r="I23" s="60" t="s">
        <v>94</v>
      </c>
      <c r="J23" s="60" t="s">
        <v>93</v>
      </c>
      <c r="K23" s="60" t="s">
        <v>94</v>
      </c>
      <c r="L23" s="60" t="s">
        <v>93</v>
      </c>
      <c r="M23" s="60" t="s">
        <v>94</v>
      </c>
      <c r="N23" s="60" t="s">
        <v>93</v>
      </c>
      <c r="O23" s="60" t="s">
        <v>94</v>
      </c>
      <c r="P23" s="60" t="s">
        <v>93</v>
      </c>
      <c r="Q23" s="60" t="s">
        <v>94</v>
      </c>
      <c r="R23" s="60" t="s">
        <v>93</v>
      </c>
      <c r="S23" s="60" t="s">
        <v>94</v>
      </c>
      <c r="T23" s="60" t="s">
        <v>93</v>
      </c>
      <c r="U23" s="60" t="s">
        <v>94</v>
      </c>
    </row>
    <row r="24" spans="1:21" x14ac:dyDescent="0.2">
      <c r="A24" s="34" t="s">
        <v>83</v>
      </c>
      <c r="B24" s="53">
        <v>14040</v>
      </c>
      <c r="C24" s="54">
        <v>0.11600000000000001</v>
      </c>
      <c r="D24" s="56">
        <v>250</v>
      </c>
      <c r="E24" s="57">
        <f>D24/$D$32</f>
        <v>9.5785440613026823E-2</v>
      </c>
      <c r="F24" s="35">
        <v>1960</v>
      </c>
      <c r="G24" s="36">
        <v>0.104</v>
      </c>
      <c r="H24" s="56">
        <v>1420</v>
      </c>
      <c r="I24" s="57">
        <v>0.11</v>
      </c>
      <c r="J24" s="35">
        <v>2610</v>
      </c>
      <c r="K24" s="36">
        <v>0.153</v>
      </c>
      <c r="L24" s="56">
        <v>800</v>
      </c>
      <c r="M24" s="57">
        <f>L24/$L$32</f>
        <v>5.2219321148825062E-2</v>
      </c>
      <c r="N24" s="35">
        <v>2170</v>
      </c>
      <c r="O24" s="36">
        <v>0.126</v>
      </c>
      <c r="P24" s="56">
        <v>800</v>
      </c>
      <c r="Q24" s="57">
        <v>9.5000000000000001E-2</v>
      </c>
      <c r="R24" s="35">
        <v>1650</v>
      </c>
      <c r="S24" s="36">
        <v>0.122</v>
      </c>
      <c r="T24" s="56">
        <v>2640</v>
      </c>
      <c r="U24" s="57">
        <v>0.14899999999999999</v>
      </c>
    </row>
    <row r="25" spans="1:21" x14ac:dyDescent="0.2">
      <c r="A25" s="34" t="s">
        <v>84</v>
      </c>
      <c r="B25" s="53">
        <v>27460</v>
      </c>
      <c r="C25" s="54">
        <v>0.22700000000000001</v>
      </c>
      <c r="D25" s="56">
        <v>550</v>
      </c>
      <c r="E25" s="57">
        <f t="shared" ref="E25:E31" si="0">D25/$D$32</f>
        <v>0.21072796934865901</v>
      </c>
      <c r="F25" s="35">
        <v>4340</v>
      </c>
      <c r="G25" s="36">
        <v>0.23</v>
      </c>
      <c r="H25" s="56">
        <v>3200</v>
      </c>
      <c r="I25" s="57">
        <v>0.247</v>
      </c>
      <c r="J25" s="35">
        <v>3910</v>
      </c>
      <c r="K25" s="36">
        <v>0.22900000000000001</v>
      </c>
      <c r="L25" s="56">
        <v>2000</v>
      </c>
      <c r="M25" s="57">
        <f t="shared" ref="M25:M32" si="1">L25/$L$32</f>
        <v>0.13054830287206268</v>
      </c>
      <c r="N25" s="35">
        <v>3770</v>
      </c>
      <c r="O25" s="36">
        <v>0.218</v>
      </c>
      <c r="P25" s="56">
        <v>2470</v>
      </c>
      <c r="Q25" s="57">
        <v>0.29399999999999998</v>
      </c>
      <c r="R25" s="35">
        <v>2750</v>
      </c>
      <c r="S25" s="36">
        <v>0.20300000000000001</v>
      </c>
      <c r="T25" s="56">
        <v>5020</v>
      </c>
      <c r="U25" s="57">
        <v>0.28399999999999997</v>
      </c>
    </row>
    <row r="26" spans="1:21" x14ac:dyDescent="0.2">
      <c r="A26" s="34" t="s">
        <v>85</v>
      </c>
      <c r="B26" s="53">
        <v>14930</v>
      </c>
      <c r="C26" s="54">
        <v>0.123</v>
      </c>
      <c r="D26" s="56">
        <v>460</v>
      </c>
      <c r="E26" s="57">
        <f t="shared" si="0"/>
        <v>0.17624521072796934</v>
      </c>
      <c r="F26" s="35">
        <v>2400</v>
      </c>
      <c r="G26" s="36">
        <v>0.127</v>
      </c>
      <c r="H26" s="56">
        <v>1590</v>
      </c>
      <c r="I26" s="57">
        <v>0.123</v>
      </c>
      <c r="J26" s="35">
        <v>2360</v>
      </c>
      <c r="K26" s="36">
        <v>0.13800000000000001</v>
      </c>
      <c r="L26" s="56">
        <v>1710</v>
      </c>
      <c r="M26" s="57">
        <f t="shared" si="1"/>
        <v>0.11161879895561358</v>
      </c>
      <c r="N26" s="35">
        <v>2480</v>
      </c>
      <c r="O26" s="36">
        <v>0.14399999999999999</v>
      </c>
      <c r="P26" s="56">
        <v>1060</v>
      </c>
      <c r="Q26" s="57">
        <v>0.126</v>
      </c>
      <c r="R26" s="35">
        <v>1360</v>
      </c>
      <c r="S26" s="36">
        <v>0.1</v>
      </c>
      <c r="T26" s="56">
        <v>1980</v>
      </c>
      <c r="U26" s="57">
        <v>0.112</v>
      </c>
    </row>
    <row r="27" spans="1:21" x14ac:dyDescent="0.2">
      <c r="A27" s="34" t="s">
        <v>86</v>
      </c>
      <c r="B27" s="53">
        <v>10870</v>
      </c>
      <c r="C27" s="54">
        <v>0.09</v>
      </c>
      <c r="D27" s="56">
        <v>370</v>
      </c>
      <c r="E27" s="57">
        <f t="shared" si="0"/>
        <v>0.1417624521072797</v>
      </c>
      <c r="F27" s="35">
        <v>2250</v>
      </c>
      <c r="G27" s="36">
        <v>0.11899999999999999</v>
      </c>
      <c r="H27" s="56">
        <v>830</v>
      </c>
      <c r="I27" s="57">
        <v>6.4000000000000001E-2</v>
      </c>
      <c r="J27" s="35">
        <v>1870</v>
      </c>
      <c r="K27" s="36">
        <v>0.11</v>
      </c>
      <c r="L27" s="56">
        <v>1100</v>
      </c>
      <c r="M27" s="57">
        <f t="shared" si="1"/>
        <v>7.1801566579634463E-2</v>
      </c>
      <c r="N27" s="35">
        <v>940</v>
      </c>
      <c r="O27" s="36">
        <v>5.3999999999999999E-2</v>
      </c>
      <c r="P27" s="56">
        <v>1170</v>
      </c>
      <c r="Q27" s="57">
        <v>0.13900000000000001</v>
      </c>
      <c r="R27" s="35">
        <v>1020</v>
      </c>
      <c r="S27" s="36">
        <v>7.4999999999999997E-2</v>
      </c>
      <c r="T27" s="56">
        <v>1680</v>
      </c>
      <c r="U27" s="57">
        <v>9.5000000000000001E-2</v>
      </c>
    </row>
    <row r="28" spans="1:21" x14ac:dyDescent="0.2">
      <c r="A28" s="34" t="s">
        <v>87</v>
      </c>
      <c r="B28" s="53">
        <v>16940</v>
      </c>
      <c r="C28" s="54">
        <v>0.14000000000000001</v>
      </c>
      <c r="D28" s="56">
        <v>420</v>
      </c>
      <c r="E28" s="57">
        <f t="shared" si="0"/>
        <v>0.16091954022988506</v>
      </c>
      <c r="F28" s="35">
        <v>3060</v>
      </c>
      <c r="G28" s="36">
        <v>0.16200000000000001</v>
      </c>
      <c r="H28" s="56">
        <v>1530</v>
      </c>
      <c r="I28" s="57">
        <v>0.11799999999999999</v>
      </c>
      <c r="J28" s="35">
        <v>2050</v>
      </c>
      <c r="K28" s="36">
        <v>0.12</v>
      </c>
      <c r="L28" s="56">
        <v>1620</v>
      </c>
      <c r="M28" s="57">
        <f t="shared" si="1"/>
        <v>0.10574412532637076</v>
      </c>
      <c r="N28" s="35">
        <v>2530</v>
      </c>
      <c r="O28" s="36">
        <v>0.14699999999999999</v>
      </c>
      <c r="P28" s="56">
        <v>1590</v>
      </c>
      <c r="Q28" s="57">
        <v>0.189</v>
      </c>
      <c r="R28" s="35">
        <v>1750</v>
      </c>
      <c r="S28" s="36">
        <v>0.129</v>
      </c>
      <c r="T28" s="56">
        <v>2810</v>
      </c>
      <c r="U28" s="57">
        <v>0.159</v>
      </c>
    </row>
    <row r="29" spans="1:21" x14ac:dyDescent="0.2">
      <c r="A29" s="34" t="s">
        <v>88</v>
      </c>
      <c r="B29" s="53">
        <v>9190</v>
      </c>
      <c r="C29" s="54">
        <v>7.5999999999999998E-2</v>
      </c>
      <c r="D29" s="56">
        <v>140</v>
      </c>
      <c r="E29" s="57">
        <f t="shared" si="0"/>
        <v>5.3639846743295021E-2</v>
      </c>
      <c r="F29" s="35">
        <v>1330</v>
      </c>
      <c r="G29" s="36">
        <v>7.0999999999999994E-2</v>
      </c>
      <c r="H29" s="56">
        <v>950</v>
      </c>
      <c r="I29" s="57">
        <v>7.2999999999999995E-2</v>
      </c>
      <c r="J29" s="35">
        <v>1160</v>
      </c>
      <c r="K29" s="36">
        <v>6.8000000000000005E-2</v>
      </c>
      <c r="L29" s="56">
        <v>1970</v>
      </c>
      <c r="M29" s="57">
        <f t="shared" si="1"/>
        <v>0.12859007832898173</v>
      </c>
      <c r="N29" s="35">
        <v>1680</v>
      </c>
      <c r="O29" s="36">
        <v>9.7000000000000003E-2</v>
      </c>
      <c r="P29" s="56">
        <v>350</v>
      </c>
      <c r="Q29" s="57">
        <v>4.2000000000000003E-2</v>
      </c>
      <c r="R29" s="35">
        <v>860</v>
      </c>
      <c r="S29" s="36">
        <v>6.3E-2</v>
      </c>
      <c r="T29" s="56">
        <v>910</v>
      </c>
      <c r="U29" s="57">
        <v>5.0999999999999997E-2</v>
      </c>
    </row>
    <row r="30" spans="1:21" x14ac:dyDescent="0.2">
      <c r="A30" s="34" t="s">
        <v>89</v>
      </c>
      <c r="B30" s="53">
        <v>12090</v>
      </c>
      <c r="C30" s="54">
        <v>0.1</v>
      </c>
      <c r="D30" s="56">
        <v>320</v>
      </c>
      <c r="E30" s="57">
        <f t="shared" si="0"/>
        <v>0.12260536398467432</v>
      </c>
      <c r="F30" s="35">
        <v>1110</v>
      </c>
      <c r="G30" s="36">
        <v>5.8999999999999997E-2</v>
      </c>
      <c r="H30" s="56">
        <v>1190</v>
      </c>
      <c r="I30" s="57">
        <v>9.1999999999999998E-2</v>
      </c>
      <c r="J30" s="35">
        <v>1510</v>
      </c>
      <c r="K30" s="36">
        <v>8.8999999999999996E-2</v>
      </c>
      <c r="L30" s="56">
        <v>2330</v>
      </c>
      <c r="M30" s="57">
        <f t="shared" si="1"/>
        <v>0.15208877284595301</v>
      </c>
      <c r="N30" s="35">
        <v>2210</v>
      </c>
      <c r="O30" s="36">
        <v>0.128</v>
      </c>
      <c r="P30" s="56">
        <v>560</v>
      </c>
      <c r="Q30" s="57">
        <v>6.7000000000000004E-2</v>
      </c>
      <c r="R30" s="35">
        <v>1560</v>
      </c>
      <c r="S30" s="36">
        <v>0.115</v>
      </c>
      <c r="T30" s="56">
        <v>1610</v>
      </c>
      <c r="U30" s="57">
        <v>9.0999999999999998E-2</v>
      </c>
    </row>
    <row r="31" spans="1:21" x14ac:dyDescent="0.2">
      <c r="A31" s="34" t="s">
        <v>90</v>
      </c>
      <c r="B31" s="53">
        <v>15530</v>
      </c>
      <c r="C31" s="54">
        <v>0.128</v>
      </c>
      <c r="D31" s="56">
        <v>100</v>
      </c>
      <c r="E31" s="57">
        <f t="shared" si="0"/>
        <v>3.8314176245210725E-2</v>
      </c>
      <c r="F31" s="35">
        <v>2390</v>
      </c>
      <c r="G31" s="36">
        <v>0.127</v>
      </c>
      <c r="H31" s="56">
        <v>2250</v>
      </c>
      <c r="I31" s="57">
        <v>0.17399999999999999</v>
      </c>
      <c r="J31" s="35">
        <v>1560</v>
      </c>
      <c r="K31" s="36">
        <v>9.1999999999999998E-2</v>
      </c>
      <c r="L31" s="56">
        <v>3790</v>
      </c>
      <c r="M31" s="57">
        <f t="shared" si="1"/>
        <v>0.24738903394255873</v>
      </c>
      <c r="N31" s="35">
        <v>1480</v>
      </c>
      <c r="O31" s="36">
        <v>8.5999999999999993E-2</v>
      </c>
      <c r="P31" s="56">
        <v>410</v>
      </c>
      <c r="Q31" s="57">
        <v>4.9000000000000002E-2</v>
      </c>
      <c r="R31" s="35">
        <v>2600</v>
      </c>
      <c r="S31" s="36">
        <v>0.192</v>
      </c>
      <c r="T31" s="56">
        <v>1040</v>
      </c>
      <c r="U31" s="57">
        <v>5.8999999999999997E-2</v>
      </c>
    </row>
    <row r="32" spans="1:21" x14ac:dyDescent="0.2">
      <c r="A32" s="34" t="s">
        <v>91</v>
      </c>
      <c r="B32" s="55">
        <f>SUM(B24:B31)</f>
        <v>121050</v>
      </c>
      <c r="C32" s="54">
        <f>SUM(C24:C31)</f>
        <v>1</v>
      </c>
      <c r="D32" s="58">
        <f>SUM(D24:D31)</f>
        <v>2610</v>
      </c>
      <c r="E32" s="57">
        <f>SUM(E24:E31)</f>
        <v>1.0000000000000002</v>
      </c>
      <c r="F32" s="37">
        <f>SUM(F24:F31)</f>
        <v>18840</v>
      </c>
      <c r="G32" s="36">
        <f t="shared" ref="G32:U32" si="2">SUM(G24:G31)</f>
        <v>0.99900000000000011</v>
      </c>
      <c r="H32" s="58">
        <f t="shared" si="2"/>
        <v>12960</v>
      </c>
      <c r="I32" s="57">
        <f t="shared" si="2"/>
        <v>1.0009999999999999</v>
      </c>
      <c r="J32" s="37">
        <f t="shared" si="2"/>
        <v>17030</v>
      </c>
      <c r="K32" s="36">
        <f t="shared" si="2"/>
        <v>0.999</v>
      </c>
      <c r="L32" s="58">
        <f t="shared" si="2"/>
        <v>15320</v>
      </c>
      <c r="M32" s="57">
        <f t="shared" si="1"/>
        <v>1</v>
      </c>
      <c r="N32" s="37">
        <f t="shared" si="2"/>
        <v>17260</v>
      </c>
      <c r="O32" s="36">
        <f t="shared" si="2"/>
        <v>1</v>
      </c>
      <c r="P32" s="58">
        <f t="shared" si="2"/>
        <v>8410</v>
      </c>
      <c r="Q32" s="57">
        <f t="shared" si="2"/>
        <v>1.0009999999999999</v>
      </c>
      <c r="R32" s="37">
        <f t="shared" si="2"/>
        <v>13550</v>
      </c>
      <c r="S32" s="36">
        <f t="shared" si="2"/>
        <v>0.99899999999999989</v>
      </c>
      <c r="T32" s="58">
        <f t="shared" si="2"/>
        <v>17690</v>
      </c>
      <c r="U32" s="57">
        <f t="shared" si="2"/>
        <v>1</v>
      </c>
    </row>
    <row r="34" spans="1:21" ht="12.75" customHeight="1" x14ac:dyDescent="0.2">
      <c r="A34" s="432" t="s">
        <v>187</v>
      </c>
      <c r="B34" s="417" t="s">
        <v>79</v>
      </c>
      <c r="C34" s="418"/>
      <c r="D34" s="47" t="s">
        <v>81</v>
      </c>
      <c r="E34" s="47"/>
      <c r="F34" s="437" t="s">
        <v>82</v>
      </c>
      <c r="G34" s="437"/>
      <c r="H34" s="47" t="s">
        <v>95</v>
      </c>
      <c r="I34" s="47"/>
      <c r="J34" s="426" t="s">
        <v>96</v>
      </c>
      <c r="K34" s="426"/>
      <c r="L34" s="435" t="s">
        <v>97</v>
      </c>
      <c r="M34" s="436"/>
      <c r="N34" s="29" t="s">
        <v>98</v>
      </c>
      <c r="O34" s="27"/>
      <c r="P34" s="47" t="s">
        <v>99</v>
      </c>
      <c r="Q34" s="47"/>
      <c r="R34" s="426" t="s">
        <v>100</v>
      </c>
      <c r="S34" s="426"/>
      <c r="T34" s="47" t="s">
        <v>101</v>
      </c>
      <c r="U34" s="47"/>
    </row>
    <row r="35" spans="1:21" x14ac:dyDescent="0.2">
      <c r="A35" s="432"/>
      <c r="B35" s="51" t="s">
        <v>23</v>
      </c>
      <c r="C35" s="51" t="s">
        <v>22</v>
      </c>
      <c r="D35" s="48" t="s">
        <v>23</v>
      </c>
      <c r="E35" s="48" t="s">
        <v>22</v>
      </c>
      <c r="F35" s="23" t="s">
        <v>23</v>
      </c>
      <c r="G35" s="23" t="s">
        <v>22</v>
      </c>
      <c r="H35" s="48" t="s">
        <v>23</v>
      </c>
      <c r="I35" s="48" t="s">
        <v>22</v>
      </c>
      <c r="J35" s="23" t="s">
        <v>23</v>
      </c>
      <c r="K35" s="23" t="s">
        <v>22</v>
      </c>
      <c r="L35" s="48" t="s">
        <v>23</v>
      </c>
      <c r="M35" s="48" t="s">
        <v>22</v>
      </c>
      <c r="N35" s="23" t="s">
        <v>23</v>
      </c>
      <c r="O35" s="23" t="s">
        <v>22</v>
      </c>
      <c r="P35" s="48" t="s">
        <v>23</v>
      </c>
      <c r="Q35" s="48" t="s">
        <v>22</v>
      </c>
      <c r="R35" s="23" t="s">
        <v>23</v>
      </c>
      <c r="S35" s="23" t="s">
        <v>22</v>
      </c>
      <c r="T35" s="48" t="s">
        <v>23</v>
      </c>
      <c r="U35" s="48" t="s">
        <v>22</v>
      </c>
    </row>
    <row r="36" spans="1:21" x14ac:dyDescent="0.2">
      <c r="A36" s="420" t="s">
        <v>65</v>
      </c>
      <c r="B36" s="420"/>
      <c r="C36" s="420"/>
      <c r="D36" s="30"/>
      <c r="E36" s="30"/>
      <c r="F36" s="30"/>
      <c r="G36" s="30"/>
      <c r="H36" s="30"/>
      <c r="I36" s="30"/>
      <c r="J36" s="30"/>
      <c r="K36" s="30"/>
      <c r="L36" s="30"/>
      <c r="M36" s="30"/>
      <c r="N36" s="30"/>
      <c r="O36" s="30"/>
      <c r="P36" s="30"/>
      <c r="Q36" s="30"/>
      <c r="R36" s="30"/>
      <c r="S36" s="30"/>
      <c r="T36" s="30"/>
      <c r="U36" s="30"/>
    </row>
    <row r="37" spans="1:21" x14ac:dyDescent="0.2">
      <c r="A37" s="23" t="s">
        <v>66</v>
      </c>
      <c r="B37" s="98">
        <f>B7/52.177</f>
        <v>634.3791325679897</v>
      </c>
      <c r="C37" s="98">
        <f>C7/52.177</f>
        <v>367.97822795484603</v>
      </c>
      <c r="D37" s="99">
        <f t="shared" ref="D37:U37" si="3">D7/52.177</f>
        <v>532.80180922628745</v>
      </c>
      <c r="E37" s="99">
        <f t="shared" si="3"/>
        <v>367.97822795484603</v>
      </c>
      <c r="F37" s="100">
        <f t="shared" si="3"/>
        <v>551.96734193226905</v>
      </c>
      <c r="G37" s="100">
        <f t="shared" si="3"/>
        <v>224.23673265998428</v>
      </c>
      <c r="H37" s="99">
        <f t="shared" si="3"/>
        <v>1466.1632520075896</v>
      </c>
      <c r="I37" s="99">
        <f t="shared" si="3"/>
        <v>563.46666155585797</v>
      </c>
      <c r="J37" s="100">
        <f t="shared" si="3"/>
        <v>390.97686720202387</v>
      </c>
      <c r="K37" s="100">
        <f t="shared" si="3"/>
        <v>224.23673265998428</v>
      </c>
      <c r="L37" s="99">
        <f t="shared" si="3"/>
        <v>764.70475496866436</v>
      </c>
      <c r="M37" s="99">
        <f t="shared" si="3"/>
        <v>425.47482607279068</v>
      </c>
      <c r="N37" s="100">
        <f t="shared" si="3"/>
        <v>634.3791325679897</v>
      </c>
      <c r="O37" s="100">
        <f t="shared" si="3"/>
        <v>367.97822795484603</v>
      </c>
      <c r="P37" s="99">
        <f t="shared" si="3"/>
        <v>494.47074381432435</v>
      </c>
      <c r="Q37" s="99">
        <f t="shared" si="3"/>
        <v>274.06711769553635</v>
      </c>
      <c r="R37" s="100">
        <f t="shared" si="3"/>
        <v>626.71291948559713</v>
      </c>
      <c r="S37" s="100">
        <f t="shared" si="3"/>
        <v>321.98094946049025</v>
      </c>
      <c r="T37" s="99">
        <f t="shared" si="3"/>
        <v>436.97414569637965</v>
      </c>
      <c r="U37" s="99">
        <f t="shared" si="3"/>
        <v>321.98094946049025</v>
      </c>
    </row>
    <row r="38" spans="1:21" x14ac:dyDescent="0.2">
      <c r="A38" s="23" t="s">
        <v>67</v>
      </c>
      <c r="B38" s="98">
        <f t="shared" ref="B38:C41" si="4">B8/52.177</f>
        <v>1230.4271997240164</v>
      </c>
      <c r="C38" s="98">
        <f t="shared" si="4"/>
        <v>881.61450447515188</v>
      </c>
      <c r="D38" s="99">
        <f t="shared" ref="D38:U38" si="5">D8/52.177</f>
        <v>532.80180922628745</v>
      </c>
      <c r="E38" s="99">
        <f t="shared" si="5"/>
        <v>425.47482607279068</v>
      </c>
      <c r="F38" s="100">
        <f t="shared" si="5"/>
        <v>839.45033252199244</v>
      </c>
      <c r="G38" s="100">
        <f t="shared" si="5"/>
        <v>494.47074381432435</v>
      </c>
      <c r="H38" s="99">
        <f t="shared" si="5"/>
        <v>1841.8076930448283</v>
      </c>
      <c r="I38" s="99">
        <f t="shared" si="5"/>
        <v>1724.8979435383408</v>
      </c>
      <c r="J38" s="100">
        <f t="shared" si="5"/>
        <v>992.77459416984493</v>
      </c>
      <c r="K38" s="100">
        <f t="shared" si="5"/>
        <v>728.29024282729938</v>
      </c>
      <c r="L38" s="99">
        <f t="shared" si="5"/>
        <v>1510.2439772313471</v>
      </c>
      <c r="M38" s="99">
        <f t="shared" si="5"/>
        <v>1034.9387661230044</v>
      </c>
      <c r="N38" s="100">
        <f t="shared" si="5"/>
        <v>1230.4271997240164</v>
      </c>
      <c r="O38" s="100">
        <f t="shared" si="5"/>
        <v>881.61450447515188</v>
      </c>
      <c r="P38" s="99">
        <f t="shared" si="5"/>
        <v>714.87436993311235</v>
      </c>
      <c r="Q38" s="99">
        <f t="shared" si="5"/>
        <v>643.9618989209805</v>
      </c>
      <c r="R38" s="100">
        <f t="shared" si="5"/>
        <v>1519.8267435843379</v>
      </c>
      <c r="S38" s="100">
        <f t="shared" si="5"/>
        <v>1293.6734576537556</v>
      </c>
      <c r="T38" s="99">
        <f t="shared" si="5"/>
        <v>937.19454932249846</v>
      </c>
      <c r="U38" s="99">
        <f t="shared" si="5"/>
        <v>674.62675125055102</v>
      </c>
    </row>
    <row r="39" spans="1:21" x14ac:dyDescent="0.2">
      <c r="A39" s="23" t="s">
        <v>68</v>
      </c>
      <c r="B39" s="98">
        <f t="shared" si="4"/>
        <v>283.64988404852716</v>
      </c>
      <c r="C39" s="98">
        <f t="shared" si="4"/>
        <v>174.40634762443221</v>
      </c>
      <c r="D39" s="99">
        <f t="shared" ref="D39:U39" si="6">D9/52.177</f>
        <v>383.31065411963124</v>
      </c>
      <c r="E39" s="99">
        <f t="shared" si="6"/>
        <v>274.06711769553635</v>
      </c>
      <c r="F39" s="100">
        <f t="shared" si="6"/>
        <v>318.14784291929396</v>
      </c>
      <c r="G39" s="100">
        <f t="shared" si="6"/>
        <v>174.40634762443221</v>
      </c>
      <c r="H39" s="99">
        <f t="shared" si="6"/>
        <v>252.98503171895663</v>
      </c>
      <c r="I39" s="99">
        <f t="shared" si="6"/>
        <v>174.40634762443221</v>
      </c>
      <c r="J39" s="100">
        <f t="shared" si="6"/>
        <v>256.81813826015292</v>
      </c>
      <c r="K39" s="100">
        <f t="shared" si="6"/>
        <v>174.40634762443221</v>
      </c>
      <c r="L39" s="99">
        <f t="shared" si="6"/>
        <v>222.32017938938614</v>
      </c>
      <c r="M39" s="99">
        <f t="shared" si="6"/>
        <v>224.23673265998428</v>
      </c>
      <c r="N39" s="100">
        <f t="shared" si="6"/>
        <v>283.64988404852716</v>
      </c>
      <c r="O39" s="100">
        <f t="shared" si="6"/>
        <v>174.40634762443221</v>
      </c>
      <c r="P39" s="99">
        <f t="shared" si="6"/>
        <v>316.23128964869579</v>
      </c>
      <c r="Q39" s="99">
        <f t="shared" si="6"/>
        <v>224.23673265998428</v>
      </c>
      <c r="R39" s="100">
        <f t="shared" si="6"/>
        <v>293.2326504015179</v>
      </c>
      <c r="S39" s="100">
        <f t="shared" si="6"/>
        <v>174.40634762443221</v>
      </c>
      <c r="T39" s="99">
        <f t="shared" si="6"/>
        <v>304.73197002510688</v>
      </c>
      <c r="U39" s="99">
        <f t="shared" si="6"/>
        <v>174.40634762443221</v>
      </c>
    </row>
    <row r="40" spans="1:21" x14ac:dyDescent="0.2">
      <c r="A40" s="23" t="s">
        <v>69</v>
      </c>
      <c r="B40" s="98">
        <f t="shared" si="4"/>
        <v>354.56235506065889</v>
      </c>
      <c r="C40" s="98">
        <f t="shared" si="4"/>
        <v>274.06711769553635</v>
      </c>
      <c r="D40" s="99" t="e">
        <f t="shared" ref="D40:U40" si="7">D10/52.177</f>
        <v>#VALUE!</v>
      </c>
      <c r="E40" s="99" t="e">
        <f t="shared" si="7"/>
        <v>#VALUE!</v>
      </c>
      <c r="F40" s="100">
        <f t="shared" si="7"/>
        <v>402.47618682561284</v>
      </c>
      <c r="G40" s="100">
        <f t="shared" si="7"/>
        <v>274.06711769553635</v>
      </c>
      <c r="H40" s="99">
        <f t="shared" si="7"/>
        <v>431.22448588458519</v>
      </c>
      <c r="I40" s="99">
        <f t="shared" si="7"/>
        <v>174.40634762443221</v>
      </c>
      <c r="J40" s="100">
        <f t="shared" si="7"/>
        <v>381.39410084903312</v>
      </c>
      <c r="K40" s="100">
        <f t="shared" si="7"/>
        <v>321.98094946049025</v>
      </c>
      <c r="L40" s="99">
        <f t="shared" si="7"/>
        <v>343.06303543706997</v>
      </c>
      <c r="M40" s="99">
        <f t="shared" si="7"/>
        <v>174.40634762443221</v>
      </c>
      <c r="N40" s="100">
        <f t="shared" si="7"/>
        <v>354.56235506065889</v>
      </c>
      <c r="O40" s="100">
        <f t="shared" si="7"/>
        <v>274.06711769553635</v>
      </c>
      <c r="P40" s="99">
        <f t="shared" si="7"/>
        <v>444.64035877877228</v>
      </c>
      <c r="Q40" s="99">
        <f t="shared" si="7"/>
        <v>321.98094946049025</v>
      </c>
      <c r="R40" s="100">
        <f t="shared" si="7"/>
        <v>321.98094946049025</v>
      </c>
      <c r="S40" s="100">
        <f t="shared" si="7"/>
        <v>174.40634762443221</v>
      </c>
      <c r="T40" s="99">
        <f t="shared" si="7"/>
        <v>272.15056442493818</v>
      </c>
      <c r="U40" s="99">
        <f t="shared" si="7"/>
        <v>174.40634762443221</v>
      </c>
    </row>
    <row r="41" spans="1:21" x14ac:dyDescent="0.2">
      <c r="A41" s="23" t="s">
        <v>70</v>
      </c>
      <c r="B41" s="98">
        <f t="shared" si="4"/>
        <v>607.54738677961552</v>
      </c>
      <c r="C41" s="98">
        <f t="shared" si="4"/>
        <v>425.47482607279068</v>
      </c>
      <c r="D41" s="99">
        <f t="shared" ref="D41:U41" si="8">D11/52.177</f>
        <v>622.87981294440078</v>
      </c>
      <c r="E41" s="99">
        <f t="shared" si="8"/>
        <v>321.98094946049025</v>
      </c>
      <c r="F41" s="100">
        <f t="shared" si="8"/>
        <v>599.88117369722295</v>
      </c>
      <c r="G41" s="100">
        <f t="shared" si="8"/>
        <v>425.47482607279068</v>
      </c>
      <c r="H41" s="99">
        <f t="shared" si="8"/>
        <v>778.12062786285151</v>
      </c>
      <c r="I41" s="99">
        <f t="shared" si="8"/>
        <v>643.9618989209805</v>
      </c>
      <c r="J41" s="100">
        <f t="shared" si="8"/>
        <v>517.46938306150219</v>
      </c>
      <c r="K41" s="100">
        <f t="shared" si="8"/>
        <v>367.97822795484603</v>
      </c>
      <c r="L41" s="99">
        <f t="shared" si="8"/>
        <v>864.3655250397685</v>
      </c>
      <c r="M41" s="99">
        <f t="shared" si="8"/>
        <v>643.9618989209805</v>
      </c>
      <c r="N41" s="100">
        <f t="shared" si="8"/>
        <v>607.54738677961552</v>
      </c>
      <c r="O41" s="100">
        <f t="shared" si="8"/>
        <v>425.47482607279068</v>
      </c>
      <c r="P41" s="99">
        <f t="shared" si="8"/>
        <v>404.39274009621096</v>
      </c>
      <c r="Q41" s="99">
        <f t="shared" si="8"/>
        <v>321.98094946049025</v>
      </c>
      <c r="R41" s="100">
        <f t="shared" si="8"/>
        <v>812.61858673361826</v>
      </c>
      <c r="S41" s="100">
        <f t="shared" si="8"/>
        <v>728.29024282729938</v>
      </c>
      <c r="T41" s="99">
        <f t="shared" si="8"/>
        <v>463.80589148475383</v>
      </c>
      <c r="U41" s="99">
        <f t="shared" si="8"/>
        <v>367.97822795484603</v>
      </c>
    </row>
    <row r="42" spans="1:21" x14ac:dyDescent="0.2">
      <c r="A42" s="420" t="s">
        <v>71</v>
      </c>
      <c r="B42" s="420"/>
      <c r="C42" s="420"/>
      <c r="D42" s="30"/>
      <c r="E42" s="30"/>
      <c r="F42" s="31"/>
      <c r="G42" s="31"/>
      <c r="H42" s="30"/>
      <c r="I42" s="30"/>
      <c r="J42" s="31"/>
      <c r="K42" s="31"/>
      <c r="L42" s="30"/>
      <c r="M42" s="30"/>
      <c r="N42" s="31"/>
      <c r="O42" s="31"/>
      <c r="P42" s="30"/>
      <c r="Q42" s="30"/>
      <c r="R42" s="31"/>
      <c r="S42" s="31"/>
      <c r="T42" s="30"/>
      <c r="U42" s="30"/>
    </row>
    <row r="43" spans="1:21" x14ac:dyDescent="0.2">
      <c r="A43" s="23" t="s">
        <v>72</v>
      </c>
      <c r="B43" s="52">
        <f>B13/52.177</f>
        <v>435.05759242578148</v>
      </c>
      <c r="C43" s="52">
        <f>C13/52.177</f>
        <v>321.98094946049025</v>
      </c>
      <c r="D43" s="49">
        <f t="shared" ref="D43:U43" si="9">D13/52.177</f>
        <v>285.56643731912527</v>
      </c>
      <c r="E43" s="49">
        <f t="shared" si="9"/>
        <v>224.23673265998428</v>
      </c>
      <c r="F43" s="24">
        <f t="shared" si="9"/>
        <v>415.89205971979993</v>
      </c>
      <c r="G43" s="24">
        <f t="shared" si="9"/>
        <v>274.06711769553635</v>
      </c>
      <c r="H43" s="49">
        <f t="shared" si="9"/>
        <v>553.88389520286717</v>
      </c>
      <c r="I43" s="49">
        <f t="shared" si="9"/>
        <v>425.47482607279068</v>
      </c>
      <c r="J43" s="24">
        <f t="shared" si="9"/>
        <v>348.81269524886443</v>
      </c>
      <c r="K43" s="24">
        <f t="shared" si="9"/>
        <v>274.06711769553635</v>
      </c>
      <c r="L43" s="49">
        <f t="shared" si="9"/>
        <v>597.96462042662472</v>
      </c>
      <c r="M43" s="49">
        <f t="shared" si="9"/>
        <v>494.47074381432435</v>
      </c>
      <c r="N43" s="24">
        <f t="shared" si="9"/>
        <v>429.30793261398702</v>
      </c>
      <c r="O43" s="24">
        <f t="shared" si="9"/>
        <v>425.47482607279068</v>
      </c>
      <c r="P43" s="49">
        <f t="shared" si="9"/>
        <v>285.56643731912527</v>
      </c>
      <c r="Q43" s="49">
        <f t="shared" si="9"/>
        <v>274.06711769553635</v>
      </c>
      <c r="R43" s="24">
        <f t="shared" si="9"/>
        <v>548.13423539107271</v>
      </c>
      <c r="S43" s="24">
        <f t="shared" si="9"/>
        <v>321.98094946049025</v>
      </c>
      <c r="T43" s="49">
        <f t="shared" si="9"/>
        <v>344.97958870766814</v>
      </c>
      <c r="U43" s="49">
        <f t="shared" si="9"/>
        <v>325.81405600168659</v>
      </c>
    </row>
    <row r="44" spans="1:21" x14ac:dyDescent="0.2">
      <c r="A44" s="23" t="s">
        <v>73</v>
      </c>
      <c r="B44" s="52">
        <f t="shared" ref="B44:U44" si="10">B14/52.177</f>
        <v>237.65260555417137</v>
      </c>
      <c r="C44" s="52">
        <f t="shared" si="10"/>
        <v>174.40634762443221</v>
      </c>
      <c r="D44" s="49">
        <f t="shared" si="10"/>
        <v>199.32154014220825</v>
      </c>
      <c r="E44" s="49">
        <f t="shared" si="10"/>
        <v>174.40634762443221</v>
      </c>
      <c r="F44" s="24">
        <f t="shared" si="10"/>
        <v>226.15328593058246</v>
      </c>
      <c r="G44" s="24">
        <f t="shared" si="10"/>
        <v>174.40634762443221</v>
      </c>
      <c r="H44" s="49">
        <f t="shared" si="10"/>
        <v>226.15328593058246</v>
      </c>
      <c r="I44" s="49">
        <f t="shared" si="10"/>
        <v>174.40634762443221</v>
      </c>
      <c r="J44" s="24">
        <f t="shared" si="10"/>
        <v>212.73741303639534</v>
      </c>
      <c r="K44" s="24">
        <f t="shared" si="10"/>
        <v>174.40634762443221</v>
      </c>
      <c r="L44" s="49">
        <f t="shared" si="10"/>
        <v>402.47618682561284</v>
      </c>
      <c r="M44" s="49">
        <f t="shared" si="10"/>
        <v>224.23673265998428</v>
      </c>
      <c r="N44" s="24">
        <f t="shared" si="10"/>
        <v>262.56779807194744</v>
      </c>
      <c r="O44" s="24">
        <f t="shared" si="10"/>
        <v>174.40634762443221</v>
      </c>
      <c r="P44" s="49">
        <f t="shared" si="10"/>
        <v>247.23537190716218</v>
      </c>
      <c r="Q44" s="49">
        <f t="shared" si="10"/>
        <v>174.40634762443221</v>
      </c>
      <c r="R44" s="24">
        <f t="shared" si="10"/>
        <v>187.8222205186193</v>
      </c>
      <c r="S44" s="24">
        <f t="shared" si="10"/>
        <v>174.40634762443221</v>
      </c>
      <c r="T44" s="49">
        <f t="shared" si="10"/>
        <v>201.23809341280642</v>
      </c>
      <c r="U44" s="49">
        <f t="shared" si="10"/>
        <v>174.40634762443221</v>
      </c>
    </row>
    <row r="45" spans="1:21" x14ac:dyDescent="0.2">
      <c r="A45" s="23" t="s">
        <v>74</v>
      </c>
      <c r="B45" s="52">
        <f t="shared" ref="B45:U45" si="11">B15/52.177</f>
        <v>1057.9374053701822</v>
      </c>
      <c r="C45" s="52">
        <f t="shared" si="11"/>
        <v>881.61450447515188</v>
      </c>
      <c r="D45" s="49">
        <f t="shared" si="11"/>
        <v>837.53377925139432</v>
      </c>
      <c r="E45" s="49">
        <f t="shared" si="11"/>
        <v>643.9618989209805</v>
      </c>
      <c r="F45" s="24">
        <f t="shared" si="11"/>
        <v>893.11382409874079</v>
      </c>
      <c r="G45" s="24">
        <f t="shared" si="11"/>
        <v>728.29024282729938</v>
      </c>
      <c r="H45" s="49">
        <f t="shared" si="11"/>
        <v>1517.9101903137398</v>
      </c>
      <c r="I45" s="49">
        <f t="shared" si="11"/>
        <v>1197.8457941238478</v>
      </c>
      <c r="J45" s="24">
        <f t="shared" si="11"/>
        <v>887.36416428694633</v>
      </c>
      <c r="K45" s="24">
        <f t="shared" si="11"/>
        <v>881.61450447515188</v>
      </c>
      <c r="L45" s="49">
        <f t="shared" si="11"/>
        <v>1445.0811660310098</v>
      </c>
      <c r="M45" s="49">
        <f t="shared" si="11"/>
        <v>1197.8457941238478</v>
      </c>
      <c r="N45" s="24">
        <f t="shared" si="11"/>
        <v>827.95101289840352</v>
      </c>
      <c r="O45" s="24">
        <f t="shared" si="11"/>
        <v>728.29024282729938</v>
      </c>
      <c r="P45" s="49">
        <f t="shared" si="11"/>
        <v>709.12471012131778</v>
      </c>
      <c r="Q45" s="49">
        <f t="shared" si="11"/>
        <v>563.46666155585797</v>
      </c>
      <c r="R45" s="24">
        <f t="shared" si="11"/>
        <v>1197.8457941238478</v>
      </c>
      <c r="S45" s="24">
        <f t="shared" si="11"/>
        <v>881.61450447515188</v>
      </c>
      <c r="T45" s="49">
        <f t="shared" si="11"/>
        <v>860.53241849857216</v>
      </c>
      <c r="U45" s="49">
        <f t="shared" si="11"/>
        <v>728.29024282729938</v>
      </c>
    </row>
    <row r="46" spans="1:21" x14ac:dyDescent="0.2">
      <c r="A46" s="23" t="s">
        <v>75</v>
      </c>
      <c r="B46" s="52">
        <f t="shared" ref="B46:U46" si="12">B16/52.177</f>
        <v>925.69522969890954</v>
      </c>
      <c r="C46" s="52">
        <f t="shared" si="12"/>
        <v>563.46666155585797</v>
      </c>
      <c r="D46" s="49">
        <f t="shared" si="12"/>
        <v>645.87845219157862</v>
      </c>
      <c r="E46" s="49">
        <f t="shared" si="12"/>
        <v>425.47482607279068</v>
      </c>
      <c r="F46" s="24">
        <f t="shared" si="12"/>
        <v>561.55010828525974</v>
      </c>
      <c r="G46" s="24">
        <f t="shared" si="12"/>
        <v>494.47074381432435</v>
      </c>
      <c r="H46" s="49">
        <f t="shared" si="12"/>
        <v>1257.2589455123905</v>
      </c>
      <c r="I46" s="49">
        <f t="shared" si="12"/>
        <v>425.47482607279068</v>
      </c>
      <c r="J46" s="24">
        <f t="shared" si="12"/>
        <v>735.95645590969207</v>
      </c>
      <c r="K46" s="24">
        <f t="shared" si="12"/>
        <v>494.47074381432435</v>
      </c>
      <c r="L46" s="49">
        <f t="shared" si="12"/>
        <v>1878.2222051861932</v>
      </c>
      <c r="M46" s="49">
        <f t="shared" si="12"/>
        <v>1293.6734576537556</v>
      </c>
      <c r="N46" s="24">
        <f t="shared" si="12"/>
        <v>793.45305402763665</v>
      </c>
      <c r="O46" s="24">
        <f t="shared" si="12"/>
        <v>643.9618989209805</v>
      </c>
      <c r="P46" s="49">
        <f t="shared" si="12"/>
        <v>448.47346531996857</v>
      </c>
      <c r="Q46" s="49">
        <f t="shared" si="12"/>
        <v>425.47482607279068</v>
      </c>
      <c r="R46" s="24">
        <f t="shared" si="12"/>
        <v>912.2793568047224</v>
      </c>
      <c r="S46" s="24">
        <f t="shared" si="12"/>
        <v>728.29024282729938</v>
      </c>
      <c r="T46" s="49">
        <f t="shared" si="12"/>
        <v>574.96598117944689</v>
      </c>
      <c r="U46" s="49">
        <f t="shared" si="12"/>
        <v>425.47482607279068</v>
      </c>
    </row>
    <row r="47" spans="1:21" x14ac:dyDescent="0.2">
      <c r="A47" s="23" t="s">
        <v>76</v>
      </c>
      <c r="B47" s="52">
        <f t="shared" ref="B47:U47" si="13">B17/52.177</f>
        <v>670.79364470935468</v>
      </c>
      <c r="C47" s="52">
        <f t="shared" si="13"/>
        <v>494.47074381432435</v>
      </c>
      <c r="D47" s="49">
        <f t="shared" si="13"/>
        <v>553.88389520286717</v>
      </c>
      <c r="E47" s="49">
        <f t="shared" si="13"/>
        <v>425.47482607279068</v>
      </c>
      <c r="F47" s="24">
        <f t="shared" si="13"/>
        <v>603.71428023841918</v>
      </c>
      <c r="G47" s="24">
        <f t="shared" si="13"/>
        <v>425.47482607279068</v>
      </c>
      <c r="H47" s="49">
        <f t="shared" si="13"/>
        <v>586.4653008030358</v>
      </c>
      <c r="I47" s="49">
        <f t="shared" si="13"/>
        <v>563.46666155585797</v>
      </c>
      <c r="J47" s="24">
        <f t="shared" si="13"/>
        <v>609.46394005021375</v>
      </c>
      <c r="K47" s="24">
        <f t="shared" si="13"/>
        <v>494.47074381432435</v>
      </c>
      <c r="L47" s="49">
        <f t="shared" si="13"/>
        <v>919.94556988711497</v>
      </c>
      <c r="M47" s="49">
        <f t="shared" si="13"/>
        <v>643.9618989209805</v>
      </c>
      <c r="N47" s="24">
        <f t="shared" si="13"/>
        <v>812.61858673361826</v>
      </c>
      <c r="O47" s="24">
        <f t="shared" si="13"/>
        <v>494.47074381432435</v>
      </c>
      <c r="P47" s="49">
        <f t="shared" si="13"/>
        <v>565.38321482645608</v>
      </c>
      <c r="Q47" s="49">
        <f t="shared" si="13"/>
        <v>494.47074381432435</v>
      </c>
      <c r="R47" s="24">
        <f t="shared" si="13"/>
        <v>875.86484466335742</v>
      </c>
      <c r="S47" s="24">
        <f t="shared" si="13"/>
        <v>643.9618989209805</v>
      </c>
      <c r="T47" s="49">
        <f t="shared" si="13"/>
        <v>494.47074381432435</v>
      </c>
      <c r="U47" s="49">
        <f t="shared" si="13"/>
        <v>425.47482607279068</v>
      </c>
    </row>
    <row r="48" spans="1:21" x14ac:dyDescent="0.2">
      <c r="A48" s="23" t="s">
        <v>77</v>
      </c>
      <c r="B48" s="52">
        <f>B18/52.177</f>
        <v>423.55827280219256</v>
      </c>
      <c r="C48" s="52">
        <f>C18/52.177</f>
        <v>321.98094946049025</v>
      </c>
      <c r="D48" s="49">
        <f t="shared" ref="D48:U48" si="14">D18/52.177</f>
        <v>270.23401115434001</v>
      </c>
      <c r="E48" s="49">
        <f t="shared" si="14"/>
        <v>321.98094946049025</v>
      </c>
      <c r="F48" s="24">
        <f t="shared" si="14"/>
        <v>366.06167468424786</v>
      </c>
      <c r="G48" s="24">
        <f t="shared" si="14"/>
        <v>321.98094946049025</v>
      </c>
      <c r="H48" s="49">
        <f t="shared" si="14"/>
        <v>379.47754757843495</v>
      </c>
      <c r="I48" s="49">
        <f t="shared" si="14"/>
        <v>367.97822795484603</v>
      </c>
      <c r="J48" s="24">
        <f t="shared" si="14"/>
        <v>260.65124480134926</v>
      </c>
      <c r="K48" s="24">
        <f t="shared" si="14"/>
        <v>274.06711769553635</v>
      </c>
      <c r="L48" s="49">
        <f t="shared" si="14"/>
        <v>1515.9936370431417</v>
      </c>
      <c r="M48" s="49">
        <f t="shared" si="14"/>
        <v>1293.6734576537556</v>
      </c>
      <c r="N48" s="24">
        <f t="shared" si="14"/>
        <v>239.56915882476954</v>
      </c>
      <c r="O48" s="24">
        <f t="shared" si="14"/>
        <v>274.06711769553635</v>
      </c>
      <c r="P48" s="49">
        <f t="shared" si="14"/>
        <v>293.2326504015179</v>
      </c>
      <c r="Q48" s="49">
        <f t="shared" si="14"/>
        <v>425.47482607279068</v>
      </c>
      <c r="R48" s="24">
        <f t="shared" si="14"/>
        <v>304.73197002510688</v>
      </c>
      <c r="S48" s="24">
        <f t="shared" si="14"/>
        <v>274.06711769553635</v>
      </c>
      <c r="T48" s="49">
        <f t="shared" si="14"/>
        <v>237.65260555417137</v>
      </c>
      <c r="U48" s="49">
        <f t="shared" si="14"/>
        <v>321.98094946049025</v>
      </c>
    </row>
    <row r="49" spans="1:21" x14ac:dyDescent="0.2">
      <c r="A49" s="23" t="s">
        <v>78</v>
      </c>
      <c r="B49" s="52">
        <f t="shared" ref="B49:U49" si="15">B19/52.177</f>
        <v>218.48707284818983</v>
      </c>
      <c r="C49" s="52">
        <f t="shared" si="15"/>
        <v>124.57596258888016</v>
      </c>
      <c r="D49" s="49">
        <f t="shared" si="15"/>
        <v>157.15736818904881</v>
      </c>
      <c r="E49" s="49">
        <f t="shared" si="15"/>
        <v>124.57596258888016</v>
      </c>
      <c r="F49" s="24">
        <f t="shared" si="15"/>
        <v>270.23401115434001</v>
      </c>
      <c r="G49" s="24">
        <f t="shared" si="15"/>
        <v>224.23673265998428</v>
      </c>
      <c r="H49" s="49">
        <f t="shared" si="15"/>
        <v>174.40634762443221</v>
      </c>
      <c r="I49" s="49">
        <f t="shared" si="15"/>
        <v>124.57596258888016</v>
      </c>
      <c r="J49" s="24">
        <f t="shared" si="15"/>
        <v>143.74149529486172</v>
      </c>
      <c r="K49" s="24">
        <f t="shared" si="15"/>
        <v>124.57596258888016</v>
      </c>
      <c r="L49" s="49">
        <f t="shared" si="15"/>
        <v>297.06575694271424</v>
      </c>
      <c r="M49" s="49">
        <f t="shared" si="15"/>
        <v>174.40634762443221</v>
      </c>
      <c r="N49" s="24">
        <f t="shared" si="15"/>
        <v>208.90430649519902</v>
      </c>
      <c r="O49" s="24">
        <f t="shared" si="15"/>
        <v>174.40634762443221</v>
      </c>
      <c r="P49" s="49">
        <f t="shared" si="15"/>
        <v>153.3242616478525</v>
      </c>
      <c r="Q49" s="49">
        <f t="shared" si="15"/>
        <v>124.57596258888016</v>
      </c>
      <c r="R49" s="24">
        <f t="shared" si="15"/>
        <v>260.65124480134926</v>
      </c>
      <c r="S49" s="24">
        <f t="shared" si="15"/>
        <v>124.57596258888016</v>
      </c>
      <c r="T49" s="49">
        <f t="shared" si="15"/>
        <v>172.48979435383407</v>
      </c>
      <c r="U49" s="49">
        <f t="shared" si="15"/>
        <v>124.57596258888016</v>
      </c>
    </row>
    <row r="50" spans="1:21" x14ac:dyDescent="0.2">
      <c r="A50" s="25" t="s">
        <v>79</v>
      </c>
      <c r="B50" s="26">
        <f t="shared" ref="B50:U50" si="16">B20/52.177</f>
        <v>571.13287463825054</v>
      </c>
      <c r="C50" s="26">
        <f t="shared" si="16"/>
        <v>321.98094946049025</v>
      </c>
      <c r="D50" s="26">
        <f t="shared" si="16"/>
        <v>412.05895317860359</v>
      </c>
      <c r="E50" s="26">
        <f t="shared" si="16"/>
        <v>321.98094946049025</v>
      </c>
      <c r="F50" s="26">
        <f t="shared" si="16"/>
        <v>500.22040362611881</v>
      </c>
      <c r="G50" s="26">
        <f t="shared" si="16"/>
        <v>321.98094946049025</v>
      </c>
      <c r="H50" s="26">
        <f t="shared" si="16"/>
        <v>701.4584970389252</v>
      </c>
      <c r="I50" s="26">
        <f t="shared" si="16"/>
        <v>367.97822795484603</v>
      </c>
      <c r="J50" s="26">
        <f t="shared" si="16"/>
        <v>467.63899802595012</v>
      </c>
      <c r="K50" s="26">
        <f t="shared" si="16"/>
        <v>274.06711769553635</v>
      </c>
      <c r="L50" s="26">
        <f t="shared" si="16"/>
        <v>952.52697548728372</v>
      </c>
      <c r="M50" s="26">
        <f t="shared" si="16"/>
        <v>643.9618989209805</v>
      </c>
      <c r="N50" s="26">
        <f t="shared" si="16"/>
        <v>507.88661670851144</v>
      </c>
      <c r="O50" s="26">
        <f t="shared" si="16"/>
        <v>321.98094946049025</v>
      </c>
      <c r="P50" s="26">
        <f t="shared" si="16"/>
        <v>381.39410084903312</v>
      </c>
      <c r="Q50" s="26">
        <f t="shared" si="16"/>
        <v>274.06711769553635</v>
      </c>
      <c r="R50" s="26">
        <f t="shared" si="16"/>
        <v>670.79364470935468</v>
      </c>
      <c r="S50" s="26">
        <f t="shared" si="16"/>
        <v>367.97822795484603</v>
      </c>
      <c r="T50" s="26">
        <f t="shared" si="16"/>
        <v>402.47618682561284</v>
      </c>
      <c r="U50" s="26">
        <f t="shared" si="16"/>
        <v>274.06711769553635</v>
      </c>
    </row>
    <row r="51" spans="1:21" ht="13.5" thickBot="1" x14ac:dyDescent="0.25"/>
    <row r="52" spans="1:21" ht="12.75" customHeight="1" x14ac:dyDescent="0.2">
      <c r="A52" s="345" t="s">
        <v>189</v>
      </c>
      <c r="B52" s="424" t="s">
        <v>79</v>
      </c>
      <c r="C52" s="425"/>
      <c r="D52" s="108" t="s">
        <v>81</v>
      </c>
      <c r="E52" s="47"/>
      <c r="F52" s="437" t="s">
        <v>82</v>
      </c>
      <c r="G52" s="437"/>
      <c r="H52" s="47" t="s">
        <v>95</v>
      </c>
      <c r="I52" s="47"/>
      <c r="J52" s="426" t="s">
        <v>96</v>
      </c>
      <c r="K52" s="426"/>
      <c r="L52" s="435" t="s">
        <v>97</v>
      </c>
      <c r="M52" s="436"/>
      <c r="N52" s="29" t="s">
        <v>98</v>
      </c>
      <c r="O52" s="27"/>
      <c r="P52" s="47" t="s">
        <v>99</v>
      </c>
      <c r="Q52" s="47"/>
      <c r="R52" s="426" t="s">
        <v>100</v>
      </c>
      <c r="S52" s="426"/>
      <c r="T52" s="47" t="s">
        <v>101</v>
      </c>
      <c r="U52" s="47"/>
    </row>
    <row r="53" spans="1:21" x14ac:dyDescent="0.2">
      <c r="A53" s="346"/>
      <c r="B53" s="143" t="s">
        <v>23</v>
      </c>
      <c r="C53" s="144" t="s">
        <v>22</v>
      </c>
      <c r="D53" s="133" t="s">
        <v>23</v>
      </c>
      <c r="E53" s="48" t="s">
        <v>22</v>
      </c>
      <c r="F53" s="23" t="s">
        <v>23</v>
      </c>
      <c r="G53" s="23" t="s">
        <v>22</v>
      </c>
      <c r="H53" s="48" t="s">
        <v>23</v>
      </c>
      <c r="I53" s="48" t="s">
        <v>22</v>
      </c>
      <c r="J53" s="23" t="s">
        <v>23</v>
      </c>
      <c r="K53" s="23" t="s">
        <v>22</v>
      </c>
      <c r="L53" s="48" t="s">
        <v>23</v>
      </c>
      <c r="M53" s="48" t="s">
        <v>22</v>
      </c>
      <c r="N53" s="23" t="s">
        <v>23</v>
      </c>
      <c r="O53" s="23" t="s">
        <v>22</v>
      </c>
      <c r="P53" s="48" t="s">
        <v>23</v>
      </c>
      <c r="Q53" s="48" t="s">
        <v>22</v>
      </c>
      <c r="R53" s="23" t="s">
        <v>23</v>
      </c>
      <c r="S53" s="23" t="s">
        <v>22</v>
      </c>
      <c r="T53" s="48" t="s">
        <v>23</v>
      </c>
      <c r="U53" s="48" t="s">
        <v>22</v>
      </c>
    </row>
    <row r="54" spans="1:21" x14ac:dyDescent="0.2">
      <c r="A54" s="421" t="s">
        <v>65</v>
      </c>
      <c r="B54" s="420"/>
      <c r="C54" s="422"/>
      <c r="D54" s="134"/>
      <c r="E54" s="30"/>
      <c r="F54" s="30"/>
      <c r="G54" s="30"/>
      <c r="H54" s="30"/>
      <c r="I54" s="30"/>
      <c r="J54" s="30"/>
      <c r="K54" s="30"/>
      <c r="L54" s="30"/>
      <c r="M54" s="30"/>
      <c r="N54" s="30"/>
      <c r="O54" s="30"/>
      <c r="P54" s="30"/>
      <c r="Q54" s="30"/>
      <c r="R54" s="30"/>
      <c r="S54" s="30"/>
      <c r="T54" s="30"/>
      <c r="U54" s="30"/>
    </row>
    <row r="55" spans="1:21" x14ac:dyDescent="0.2">
      <c r="A55" s="138" t="s">
        <v>66</v>
      </c>
      <c r="B55" s="52">
        <f>B37*0.3</f>
        <v>190.31373977039689</v>
      </c>
      <c r="C55" s="139">
        <f>C37*0.3</f>
        <v>110.3934683864538</v>
      </c>
      <c r="D55" s="135">
        <f t="shared" ref="D55:U55" si="17">D37*0.3</f>
        <v>159.84054276788623</v>
      </c>
      <c r="E55" s="99">
        <f t="shared" si="17"/>
        <v>110.3934683864538</v>
      </c>
      <c r="F55" s="100">
        <f t="shared" si="17"/>
        <v>165.59020257968072</v>
      </c>
      <c r="G55" s="100">
        <f t="shared" si="17"/>
        <v>67.27101979799528</v>
      </c>
      <c r="H55" s="99">
        <f t="shared" si="17"/>
        <v>439.84897560227688</v>
      </c>
      <c r="I55" s="99">
        <f t="shared" si="17"/>
        <v>169.0399984667574</v>
      </c>
      <c r="J55" s="100">
        <f t="shared" si="17"/>
        <v>117.29306016060715</v>
      </c>
      <c r="K55" s="100">
        <f t="shared" si="17"/>
        <v>67.27101979799528</v>
      </c>
      <c r="L55" s="99">
        <f t="shared" si="17"/>
        <v>229.4114264905993</v>
      </c>
      <c r="M55" s="99">
        <f t="shared" si="17"/>
        <v>127.64244782183719</v>
      </c>
      <c r="N55" s="100">
        <f t="shared" si="17"/>
        <v>190.31373977039689</v>
      </c>
      <c r="O55" s="100">
        <f t="shared" si="17"/>
        <v>110.3934683864538</v>
      </c>
      <c r="P55" s="99">
        <f t="shared" si="17"/>
        <v>148.34122314429729</v>
      </c>
      <c r="Q55" s="99">
        <f t="shared" si="17"/>
        <v>82.2201353086609</v>
      </c>
      <c r="R55" s="100">
        <f t="shared" si="17"/>
        <v>188.01387584567914</v>
      </c>
      <c r="S55" s="100">
        <f t="shared" si="17"/>
        <v>96.594284838147075</v>
      </c>
      <c r="T55" s="99">
        <f t="shared" si="17"/>
        <v>131.09224370891388</v>
      </c>
      <c r="U55" s="99">
        <f t="shared" si="17"/>
        <v>96.594284838147075</v>
      </c>
    </row>
    <row r="56" spans="1:21" x14ac:dyDescent="0.2">
      <c r="A56" s="138" t="s">
        <v>67</v>
      </c>
      <c r="B56" s="52">
        <f t="shared" ref="B56:C59" si="18">B38*0.3</f>
        <v>369.12815991720493</v>
      </c>
      <c r="C56" s="139">
        <f t="shared" si="18"/>
        <v>264.48435134254555</v>
      </c>
      <c r="D56" s="135">
        <f t="shared" ref="D56:U56" si="19">D38*0.3</f>
        <v>159.84054276788623</v>
      </c>
      <c r="E56" s="99">
        <f t="shared" si="19"/>
        <v>127.64244782183719</v>
      </c>
      <c r="F56" s="100">
        <f t="shared" si="19"/>
        <v>251.83509975659771</v>
      </c>
      <c r="G56" s="100">
        <f t="shared" si="19"/>
        <v>148.34122314429729</v>
      </c>
      <c r="H56" s="99">
        <f t="shared" si="19"/>
        <v>552.54230791344844</v>
      </c>
      <c r="I56" s="99">
        <f t="shared" si="19"/>
        <v>517.46938306150219</v>
      </c>
      <c r="J56" s="100">
        <f t="shared" si="19"/>
        <v>297.83237825095347</v>
      </c>
      <c r="K56" s="100">
        <f t="shared" si="19"/>
        <v>218.4870728481898</v>
      </c>
      <c r="L56" s="99">
        <f t="shared" si="19"/>
        <v>453.07319316940414</v>
      </c>
      <c r="M56" s="99">
        <f t="shared" si="19"/>
        <v>310.48162983690128</v>
      </c>
      <c r="N56" s="100">
        <f t="shared" si="19"/>
        <v>369.12815991720493</v>
      </c>
      <c r="O56" s="100">
        <f t="shared" si="19"/>
        <v>264.48435134254555</v>
      </c>
      <c r="P56" s="99">
        <f t="shared" si="19"/>
        <v>214.4623109799337</v>
      </c>
      <c r="Q56" s="99">
        <f t="shared" si="19"/>
        <v>193.18856967629415</v>
      </c>
      <c r="R56" s="100">
        <f t="shared" si="19"/>
        <v>455.94802307530136</v>
      </c>
      <c r="S56" s="100">
        <f t="shared" si="19"/>
        <v>388.10203729612664</v>
      </c>
      <c r="T56" s="99">
        <f t="shared" si="19"/>
        <v>281.15836479674954</v>
      </c>
      <c r="U56" s="99">
        <f t="shared" si="19"/>
        <v>202.38802537516531</v>
      </c>
    </row>
    <row r="57" spans="1:21" x14ac:dyDescent="0.2">
      <c r="A57" s="138" t="s">
        <v>68</v>
      </c>
      <c r="B57" s="52">
        <f t="shared" si="18"/>
        <v>85.094965214558144</v>
      </c>
      <c r="C57" s="139">
        <f t="shared" si="18"/>
        <v>52.321904287329666</v>
      </c>
      <c r="D57" s="135">
        <f t="shared" ref="D57:U57" si="20">D39*0.3</f>
        <v>114.99319623588937</v>
      </c>
      <c r="E57" s="99">
        <f t="shared" si="20"/>
        <v>82.2201353086609</v>
      </c>
      <c r="F57" s="100">
        <f t="shared" si="20"/>
        <v>95.444352875788184</v>
      </c>
      <c r="G57" s="100">
        <f t="shared" si="20"/>
        <v>52.321904287329666</v>
      </c>
      <c r="H57" s="99">
        <f t="shared" si="20"/>
        <v>75.895509515686982</v>
      </c>
      <c r="I57" s="99">
        <f t="shared" si="20"/>
        <v>52.321904287329666</v>
      </c>
      <c r="J57" s="100">
        <f t="shared" si="20"/>
        <v>77.045441478045873</v>
      </c>
      <c r="K57" s="100">
        <f t="shared" si="20"/>
        <v>52.321904287329666</v>
      </c>
      <c r="L57" s="99">
        <f t="shared" si="20"/>
        <v>66.696053816815834</v>
      </c>
      <c r="M57" s="99">
        <f t="shared" si="20"/>
        <v>67.27101979799528</v>
      </c>
      <c r="N57" s="100">
        <f t="shared" si="20"/>
        <v>85.094965214558144</v>
      </c>
      <c r="O57" s="100">
        <f t="shared" si="20"/>
        <v>52.321904287329666</v>
      </c>
      <c r="P57" s="99">
        <f t="shared" si="20"/>
        <v>94.869386894608738</v>
      </c>
      <c r="Q57" s="99">
        <f t="shared" si="20"/>
        <v>67.27101979799528</v>
      </c>
      <c r="R57" s="100">
        <f t="shared" si="20"/>
        <v>87.969795120455373</v>
      </c>
      <c r="S57" s="100">
        <f t="shared" si="20"/>
        <v>52.321904287329666</v>
      </c>
      <c r="T57" s="99">
        <f t="shared" si="20"/>
        <v>91.419591007532063</v>
      </c>
      <c r="U57" s="99">
        <f t="shared" si="20"/>
        <v>52.321904287329666</v>
      </c>
    </row>
    <row r="58" spans="1:21" x14ac:dyDescent="0.2">
      <c r="A58" s="138" t="s">
        <v>69</v>
      </c>
      <c r="B58" s="52">
        <f t="shared" si="18"/>
        <v>106.36870651819767</v>
      </c>
      <c r="C58" s="139">
        <f t="shared" si="18"/>
        <v>82.2201353086609</v>
      </c>
      <c r="D58" s="135" t="e">
        <f t="shared" ref="D58:U58" si="21">D40*0.3</f>
        <v>#VALUE!</v>
      </c>
      <c r="E58" s="99" t="e">
        <f t="shared" si="21"/>
        <v>#VALUE!</v>
      </c>
      <c r="F58" s="100">
        <f t="shared" si="21"/>
        <v>120.74285604768384</v>
      </c>
      <c r="G58" s="100">
        <f t="shared" si="21"/>
        <v>82.2201353086609</v>
      </c>
      <c r="H58" s="99">
        <f t="shared" si="21"/>
        <v>129.36734576537555</v>
      </c>
      <c r="I58" s="99">
        <f t="shared" si="21"/>
        <v>52.321904287329666</v>
      </c>
      <c r="J58" s="100">
        <f t="shared" si="21"/>
        <v>114.41823025470994</v>
      </c>
      <c r="K58" s="100">
        <f t="shared" si="21"/>
        <v>96.594284838147075</v>
      </c>
      <c r="L58" s="99">
        <f t="shared" si="21"/>
        <v>102.91891063112099</v>
      </c>
      <c r="M58" s="99">
        <f t="shared" si="21"/>
        <v>52.321904287329666</v>
      </c>
      <c r="N58" s="100">
        <f t="shared" si="21"/>
        <v>106.36870651819767</v>
      </c>
      <c r="O58" s="100">
        <f t="shared" si="21"/>
        <v>82.2201353086609</v>
      </c>
      <c r="P58" s="99">
        <f t="shared" si="21"/>
        <v>133.39210763363167</v>
      </c>
      <c r="Q58" s="99">
        <f t="shared" si="21"/>
        <v>96.594284838147075</v>
      </c>
      <c r="R58" s="100">
        <f t="shared" si="21"/>
        <v>96.594284838147075</v>
      </c>
      <c r="S58" s="100">
        <f t="shared" si="21"/>
        <v>52.321904287329666</v>
      </c>
      <c r="T58" s="99">
        <f t="shared" si="21"/>
        <v>81.645169327481455</v>
      </c>
      <c r="U58" s="99">
        <f t="shared" si="21"/>
        <v>52.321904287329666</v>
      </c>
    </row>
    <row r="59" spans="1:21" x14ac:dyDescent="0.2">
      <c r="A59" s="138" t="s">
        <v>70</v>
      </c>
      <c r="B59" s="52">
        <f t="shared" si="18"/>
        <v>182.26421603388465</v>
      </c>
      <c r="C59" s="139">
        <f t="shared" si="18"/>
        <v>127.64244782183719</v>
      </c>
      <c r="D59" s="135">
        <f t="shared" ref="D59:U59" si="22">D41*0.3</f>
        <v>186.86394388332022</v>
      </c>
      <c r="E59" s="99">
        <f t="shared" si="22"/>
        <v>96.594284838147075</v>
      </c>
      <c r="F59" s="100">
        <f t="shared" si="22"/>
        <v>179.96435210916687</v>
      </c>
      <c r="G59" s="100">
        <f t="shared" si="22"/>
        <v>127.64244782183719</v>
      </c>
      <c r="H59" s="99">
        <f t="shared" si="22"/>
        <v>233.43618835885545</v>
      </c>
      <c r="I59" s="99">
        <f t="shared" si="22"/>
        <v>193.18856967629415</v>
      </c>
      <c r="J59" s="100">
        <f t="shared" si="22"/>
        <v>155.24081491845064</v>
      </c>
      <c r="K59" s="100">
        <f t="shared" si="22"/>
        <v>110.3934683864538</v>
      </c>
      <c r="L59" s="99">
        <f t="shared" si="22"/>
        <v>259.30965751193054</v>
      </c>
      <c r="M59" s="99">
        <f t="shared" si="22"/>
        <v>193.18856967629415</v>
      </c>
      <c r="N59" s="100">
        <f t="shared" si="22"/>
        <v>182.26421603388465</v>
      </c>
      <c r="O59" s="100">
        <f t="shared" si="22"/>
        <v>127.64244782183719</v>
      </c>
      <c r="P59" s="99">
        <f t="shared" si="22"/>
        <v>121.31782202886328</v>
      </c>
      <c r="Q59" s="99">
        <f t="shared" si="22"/>
        <v>96.594284838147075</v>
      </c>
      <c r="R59" s="100">
        <f t="shared" si="22"/>
        <v>243.78557602008547</v>
      </c>
      <c r="S59" s="100">
        <f t="shared" si="22"/>
        <v>218.4870728481898</v>
      </c>
      <c r="T59" s="99">
        <f t="shared" si="22"/>
        <v>139.14176744542615</v>
      </c>
      <c r="U59" s="99">
        <f t="shared" si="22"/>
        <v>110.3934683864538</v>
      </c>
    </row>
    <row r="60" spans="1:21" ht="12.75" customHeight="1" x14ac:dyDescent="0.2">
      <c r="A60" s="421" t="s">
        <v>71</v>
      </c>
      <c r="B60" s="420"/>
      <c r="C60" s="422"/>
      <c r="D60" s="134"/>
      <c r="E60" s="30"/>
      <c r="F60" s="31"/>
      <c r="G60" s="31"/>
      <c r="H60" s="30"/>
      <c r="I60" s="30"/>
      <c r="J60" s="31"/>
      <c r="K60" s="31"/>
      <c r="L60" s="30"/>
      <c r="M60" s="30"/>
      <c r="N60" s="31"/>
      <c r="O60" s="31"/>
      <c r="P60" s="30"/>
      <c r="Q60" s="30"/>
      <c r="R60" s="31"/>
      <c r="S60" s="31"/>
      <c r="T60" s="30"/>
      <c r="U60" s="30"/>
    </row>
    <row r="61" spans="1:21" x14ac:dyDescent="0.2">
      <c r="A61" s="138" t="s">
        <v>72</v>
      </c>
      <c r="B61" s="52">
        <f>B43*0.3</f>
        <v>130.51727772773444</v>
      </c>
      <c r="C61" s="139">
        <f>C43*0.3</f>
        <v>96.594284838147075</v>
      </c>
      <c r="D61" s="136">
        <f t="shared" ref="D61:U61" si="23">D43*0.3</f>
        <v>85.669931195737576</v>
      </c>
      <c r="E61" s="49">
        <f t="shared" si="23"/>
        <v>67.27101979799528</v>
      </c>
      <c r="F61" s="24">
        <f t="shared" si="23"/>
        <v>124.76761791593998</v>
      </c>
      <c r="G61" s="24">
        <f t="shared" si="23"/>
        <v>82.2201353086609</v>
      </c>
      <c r="H61" s="49">
        <f t="shared" si="23"/>
        <v>166.16516856086014</v>
      </c>
      <c r="I61" s="49">
        <f t="shared" si="23"/>
        <v>127.64244782183719</v>
      </c>
      <c r="J61" s="24">
        <f t="shared" si="23"/>
        <v>104.64380857465933</v>
      </c>
      <c r="K61" s="24">
        <f t="shared" si="23"/>
        <v>82.2201353086609</v>
      </c>
      <c r="L61" s="49">
        <f t="shared" si="23"/>
        <v>179.38938612798742</v>
      </c>
      <c r="M61" s="49">
        <f t="shared" si="23"/>
        <v>148.34122314429729</v>
      </c>
      <c r="N61" s="24">
        <f t="shared" si="23"/>
        <v>128.7923797841961</v>
      </c>
      <c r="O61" s="24">
        <f t="shared" si="23"/>
        <v>127.64244782183719</v>
      </c>
      <c r="P61" s="49">
        <f t="shared" si="23"/>
        <v>85.669931195737576</v>
      </c>
      <c r="Q61" s="49">
        <f t="shared" si="23"/>
        <v>82.2201353086609</v>
      </c>
      <c r="R61" s="24">
        <f t="shared" si="23"/>
        <v>164.4402706173218</v>
      </c>
      <c r="S61" s="24">
        <f t="shared" si="23"/>
        <v>96.594284838147075</v>
      </c>
      <c r="T61" s="49">
        <f t="shared" si="23"/>
        <v>103.49387661230044</v>
      </c>
      <c r="U61" s="49">
        <f t="shared" si="23"/>
        <v>97.744216800505981</v>
      </c>
    </row>
    <row r="62" spans="1:21" x14ac:dyDescent="0.2">
      <c r="A62" s="138" t="s">
        <v>73</v>
      </c>
      <c r="B62" s="52">
        <f t="shared" ref="B62:C68" si="24">B44*0.3</f>
        <v>71.295781666251415</v>
      </c>
      <c r="C62" s="139">
        <f t="shared" si="24"/>
        <v>52.321904287329666</v>
      </c>
      <c r="D62" s="136">
        <f t="shared" ref="D62:U62" si="25">D44*0.3</f>
        <v>59.796462042662469</v>
      </c>
      <c r="E62" s="49">
        <f t="shared" si="25"/>
        <v>52.321904287329666</v>
      </c>
      <c r="F62" s="24">
        <f t="shared" si="25"/>
        <v>67.84598577917474</v>
      </c>
      <c r="G62" s="24">
        <f t="shared" si="25"/>
        <v>52.321904287329666</v>
      </c>
      <c r="H62" s="49">
        <f t="shared" si="25"/>
        <v>67.84598577917474</v>
      </c>
      <c r="I62" s="49">
        <f t="shared" si="25"/>
        <v>52.321904287329666</v>
      </c>
      <c r="J62" s="24">
        <f t="shared" si="25"/>
        <v>63.821223910918597</v>
      </c>
      <c r="K62" s="24">
        <f t="shared" si="25"/>
        <v>52.321904287329666</v>
      </c>
      <c r="L62" s="49">
        <f t="shared" si="25"/>
        <v>120.74285604768384</v>
      </c>
      <c r="M62" s="49">
        <f t="shared" si="25"/>
        <v>67.27101979799528</v>
      </c>
      <c r="N62" s="24">
        <f t="shared" si="25"/>
        <v>78.770339421584225</v>
      </c>
      <c r="O62" s="24">
        <f t="shared" si="25"/>
        <v>52.321904287329666</v>
      </c>
      <c r="P62" s="49">
        <f t="shared" si="25"/>
        <v>74.170611572148644</v>
      </c>
      <c r="Q62" s="49">
        <f t="shared" si="25"/>
        <v>52.321904287329666</v>
      </c>
      <c r="R62" s="24">
        <f t="shared" si="25"/>
        <v>56.346666155585787</v>
      </c>
      <c r="S62" s="24">
        <f t="shared" si="25"/>
        <v>52.321904287329666</v>
      </c>
      <c r="T62" s="49">
        <f t="shared" si="25"/>
        <v>60.371428023841922</v>
      </c>
      <c r="U62" s="49">
        <f t="shared" si="25"/>
        <v>52.321904287329666</v>
      </c>
    </row>
    <row r="63" spans="1:21" x14ac:dyDescent="0.2">
      <c r="A63" s="138" t="s">
        <v>74</v>
      </c>
      <c r="B63" s="52">
        <f t="shared" si="24"/>
        <v>317.38122161105463</v>
      </c>
      <c r="C63" s="139">
        <f t="shared" si="24"/>
        <v>264.48435134254555</v>
      </c>
      <c r="D63" s="136">
        <f t="shared" ref="D63:U63" si="26">D45*0.3</f>
        <v>251.2601337754183</v>
      </c>
      <c r="E63" s="49">
        <f t="shared" si="26"/>
        <v>193.18856967629415</v>
      </c>
      <c r="F63" s="24">
        <f t="shared" si="26"/>
        <v>267.93414722962223</v>
      </c>
      <c r="G63" s="24">
        <f t="shared" si="26"/>
        <v>218.4870728481898</v>
      </c>
      <c r="H63" s="49">
        <f t="shared" si="26"/>
        <v>455.37305709412192</v>
      </c>
      <c r="I63" s="49">
        <f t="shared" si="26"/>
        <v>359.35373823715435</v>
      </c>
      <c r="J63" s="24">
        <f t="shared" si="26"/>
        <v>266.20924928608389</v>
      </c>
      <c r="K63" s="24">
        <f t="shared" si="26"/>
        <v>264.48435134254555</v>
      </c>
      <c r="L63" s="49">
        <f t="shared" si="26"/>
        <v>433.52434980930292</v>
      </c>
      <c r="M63" s="49">
        <f t="shared" si="26"/>
        <v>359.35373823715435</v>
      </c>
      <c r="N63" s="24">
        <f t="shared" si="26"/>
        <v>248.38530386952104</v>
      </c>
      <c r="O63" s="24">
        <f t="shared" si="26"/>
        <v>218.4870728481898</v>
      </c>
      <c r="P63" s="49">
        <f t="shared" si="26"/>
        <v>212.73741303639534</v>
      </c>
      <c r="Q63" s="49">
        <f t="shared" si="26"/>
        <v>169.0399984667574</v>
      </c>
      <c r="R63" s="24">
        <f t="shared" si="26"/>
        <v>359.35373823715435</v>
      </c>
      <c r="S63" s="24">
        <f t="shared" si="26"/>
        <v>264.48435134254555</v>
      </c>
      <c r="T63" s="49">
        <f t="shared" si="26"/>
        <v>258.15972554957165</v>
      </c>
      <c r="U63" s="49">
        <f t="shared" si="26"/>
        <v>218.4870728481898</v>
      </c>
    </row>
    <row r="64" spans="1:21" x14ac:dyDescent="0.2">
      <c r="A64" s="138" t="s">
        <v>75</v>
      </c>
      <c r="B64" s="52">
        <f t="shared" si="24"/>
        <v>277.70856890967286</v>
      </c>
      <c r="C64" s="139">
        <f t="shared" si="24"/>
        <v>169.0399984667574</v>
      </c>
      <c r="D64" s="136">
        <f t="shared" ref="D64:U64" si="27">D46*0.3</f>
        <v>193.76353565747357</v>
      </c>
      <c r="E64" s="49">
        <f t="shared" si="27"/>
        <v>127.64244782183719</v>
      </c>
      <c r="F64" s="24">
        <f t="shared" si="27"/>
        <v>168.46503248557792</v>
      </c>
      <c r="G64" s="24">
        <f t="shared" si="27"/>
        <v>148.34122314429729</v>
      </c>
      <c r="H64" s="49">
        <f t="shared" si="27"/>
        <v>377.17768365371711</v>
      </c>
      <c r="I64" s="49">
        <f t="shared" si="27"/>
        <v>127.64244782183719</v>
      </c>
      <c r="J64" s="24">
        <f t="shared" si="27"/>
        <v>220.78693677290761</v>
      </c>
      <c r="K64" s="24">
        <f t="shared" si="27"/>
        <v>148.34122314429729</v>
      </c>
      <c r="L64" s="49">
        <f t="shared" si="27"/>
        <v>563.46666155585797</v>
      </c>
      <c r="M64" s="49">
        <f t="shared" si="27"/>
        <v>388.10203729612664</v>
      </c>
      <c r="N64" s="24">
        <f t="shared" si="27"/>
        <v>238.03591620829098</v>
      </c>
      <c r="O64" s="24">
        <f t="shared" si="27"/>
        <v>193.18856967629415</v>
      </c>
      <c r="P64" s="49">
        <f t="shared" si="27"/>
        <v>134.54203959599056</v>
      </c>
      <c r="Q64" s="49">
        <f t="shared" si="27"/>
        <v>127.64244782183719</v>
      </c>
      <c r="R64" s="24">
        <f t="shared" si="27"/>
        <v>273.68380704141669</v>
      </c>
      <c r="S64" s="24">
        <f t="shared" si="27"/>
        <v>218.4870728481898</v>
      </c>
      <c r="T64" s="49">
        <f t="shared" si="27"/>
        <v>172.48979435383407</v>
      </c>
      <c r="U64" s="49">
        <f t="shared" si="27"/>
        <v>127.64244782183719</v>
      </c>
    </row>
    <row r="65" spans="1:21" x14ac:dyDescent="0.2">
      <c r="A65" s="138" t="s">
        <v>76</v>
      </c>
      <c r="B65" s="52">
        <f t="shared" si="24"/>
        <v>201.23809341280639</v>
      </c>
      <c r="C65" s="139">
        <f t="shared" si="24"/>
        <v>148.34122314429729</v>
      </c>
      <c r="D65" s="136">
        <f t="shared" ref="D65:U65" si="28">D47*0.3</f>
        <v>166.16516856086014</v>
      </c>
      <c r="E65" s="49">
        <f t="shared" si="28"/>
        <v>127.64244782183719</v>
      </c>
      <c r="F65" s="24">
        <f t="shared" si="28"/>
        <v>181.11428407152576</v>
      </c>
      <c r="G65" s="24">
        <f t="shared" si="28"/>
        <v>127.64244782183719</v>
      </c>
      <c r="H65" s="49">
        <f t="shared" si="28"/>
        <v>175.93959024091075</v>
      </c>
      <c r="I65" s="49">
        <f t="shared" si="28"/>
        <v>169.0399984667574</v>
      </c>
      <c r="J65" s="24">
        <f t="shared" si="28"/>
        <v>182.83918201506413</v>
      </c>
      <c r="K65" s="24">
        <f t="shared" si="28"/>
        <v>148.34122314429729</v>
      </c>
      <c r="L65" s="49">
        <f t="shared" si="28"/>
        <v>275.98367096613447</v>
      </c>
      <c r="M65" s="49">
        <f t="shared" si="28"/>
        <v>193.18856967629415</v>
      </c>
      <c r="N65" s="24">
        <f t="shared" si="28"/>
        <v>243.78557602008547</v>
      </c>
      <c r="O65" s="24">
        <f t="shared" si="28"/>
        <v>148.34122314429729</v>
      </c>
      <c r="P65" s="49">
        <f t="shared" si="28"/>
        <v>169.61496444793681</v>
      </c>
      <c r="Q65" s="49">
        <f t="shared" si="28"/>
        <v>148.34122314429729</v>
      </c>
      <c r="R65" s="24">
        <f t="shared" si="28"/>
        <v>262.75945339900721</v>
      </c>
      <c r="S65" s="24">
        <f t="shared" si="28"/>
        <v>193.18856967629415</v>
      </c>
      <c r="T65" s="49">
        <f t="shared" si="28"/>
        <v>148.34122314429729</v>
      </c>
      <c r="U65" s="49">
        <f t="shared" si="28"/>
        <v>127.64244782183719</v>
      </c>
    </row>
    <row r="66" spans="1:21" x14ac:dyDescent="0.2">
      <c r="A66" s="138" t="s">
        <v>77</v>
      </c>
      <c r="B66" s="52">
        <f>B48*0.3</f>
        <v>127.06748184065776</v>
      </c>
      <c r="C66" s="139">
        <f>C48*0.3</f>
        <v>96.594284838147075</v>
      </c>
      <c r="D66" s="136">
        <f t="shared" ref="D66:U66" si="29">D48*0.3</f>
        <v>81.070203346301994</v>
      </c>
      <c r="E66" s="49">
        <f t="shared" si="29"/>
        <v>96.594284838147075</v>
      </c>
      <c r="F66" s="24">
        <f t="shared" si="29"/>
        <v>109.81850240527436</v>
      </c>
      <c r="G66" s="24">
        <f t="shared" si="29"/>
        <v>96.594284838147075</v>
      </c>
      <c r="H66" s="49">
        <f t="shared" si="29"/>
        <v>113.84326427353048</v>
      </c>
      <c r="I66" s="49">
        <f t="shared" si="29"/>
        <v>110.3934683864538</v>
      </c>
      <c r="J66" s="24">
        <f t="shared" si="29"/>
        <v>78.195373440404779</v>
      </c>
      <c r="K66" s="24">
        <f t="shared" si="29"/>
        <v>82.2201353086609</v>
      </c>
      <c r="L66" s="49">
        <f t="shared" si="29"/>
        <v>454.79809111294247</v>
      </c>
      <c r="M66" s="49">
        <f t="shared" si="29"/>
        <v>388.10203729612664</v>
      </c>
      <c r="N66" s="24">
        <f t="shared" si="29"/>
        <v>71.870747647430861</v>
      </c>
      <c r="O66" s="24">
        <f t="shared" si="29"/>
        <v>82.2201353086609</v>
      </c>
      <c r="P66" s="49">
        <f t="shared" si="29"/>
        <v>87.969795120455373</v>
      </c>
      <c r="Q66" s="49">
        <f t="shared" si="29"/>
        <v>127.64244782183719</v>
      </c>
      <c r="R66" s="24">
        <f t="shared" si="29"/>
        <v>91.419591007532063</v>
      </c>
      <c r="S66" s="24">
        <f t="shared" si="29"/>
        <v>82.2201353086609</v>
      </c>
      <c r="T66" s="49">
        <f t="shared" si="29"/>
        <v>71.295781666251415</v>
      </c>
      <c r="U66" s="49">
        <f t="shared" si="29"/>
        <v>96.594284838147075</v>
      </c>
    </row>
    <row r="67" spans="1:21" x14ac:dyDescent="0.2">
      <c r="A67" s="138" t="s">
        <v>78</v>
      </c>
      <c r="B67" s="52">
        <f t="shared" si="24"/>
        <v>65.546121854456942</v>
      </c>
      <c r="C67" s="139">
        <f t="shared" si="24"/>
        <v>37.372788776664045</v>
      </c>
      <c r="D67" s="136">
        <f t="shared" ref="D67:U67" si="30">D49*0.3</f>
        <v>47.147210456714639</v>
      </c>
      <c r="E67" s="49">
        <f t="shared" si="30"/>
        <v>37.372788776664045</v>
      </c>
      <c r="F67" s="24">
        <f t="shared" si="30"/>
        <v>81.070203346301994</v>
      </c>
      <c r="G67" s="24">
        <f t="shared" si="30"/>
        <v>67.27101979799528</v>
      </c>
      <c r="H67" s="49">
        <f t="shared" si="30"/>
        <v>52.321904287329666</v>
      </c>
      <c r="I67" s="49">
        <f t="shared" si="30"/>
        <v>37.372788776664045</v>
      </c>
      <c r="J67" s="24">
        <f t="shared" si="30"/>
        <v>43.122448588458518</v>
      </c>
      <c r="K67" s="24">
        <f t="shared" si="30"/>
        <v>37.372788776664045</v>
      </c>
      <c r="L67" s="49">
        <f t="shared" si="30"/>
        <v>89.119727082814265</v>
      </c>
      <c r="M67" s="49">
        <f t="shared" si="30"/>
        <v>52.321904287329666</v>
      </c>
      <c r="N67" s="24">
        <f t="shared" si="30"/>
        <v>62.671291948559706</v>
      </c>
      <c r="O67" s="24">
        <f t="shared" si="30"/>
        <v>52.321904287329666</v>
      </c>
      <c r="P67" s="49">
        <f t="shared" si="30"/>
        <v>45.997278494355747</v>
      </c>
      <c r="Q67" s="49">
        <f t="shared" si="30"/>
        <v>37.372788776664045</v>
      </c>
      <c r="R67" s="24">
        <f t="shared" si="30"/>
        <v>78.195373440404779</v>
      </c>
      <c r="S67" s="24">
        <f t="shared" si="30"/>
        <v>37.372788776664045</v>
      </c>
      <c r="T67" s="49">
        <f t="shared" si="30"/>
        <v>51.74693830615022</v>
      </c>
      <c r="U67" s="49">
        <f t="shared" si="30"/>
        <v>37.372788776664045</v>
      </c>
    </row>
    <row r="68" spans="1:21" ht="13.5" thickBot="1" x14ac:dyDescent="0.25">
      <c r="A68" s="140" t="s">
        <v>79</v>
      </c>
      <c r="B68" s="141">
        <f t="shared" si="24"/>
        <v>171.33986239147515</v>
      </c>
      <c r="C68" s="142">
        <f t="shared" si="24"/>
        <v>96.594284838147075</v>
      </c>
      <c r="D68" s="137">
        <f t="shared" ref="D68:U68" si="31">D50*0.3</f>
        <v>123.61768595358107</v>
      </c>
      <c r="E68" s="26">
        <f t="shared" si="31"/>
        <v>96.594284838147075</v>
      </c>
      <c r="F68" s="26">
        <f t="shared" si="31"/>
        <v>150.06612108783563</v>
      </c>
      <c r="G68" s="26">
        <f t="shared" si="31"/>
        <v>96.594284838147075</v>
      </c>
      <c r="H68" s="26">
        <f t="shared" si="31"/>
        <v>210.43754911167755</v>
      </c>
      <c r="I68" s="26">
        <f t="shared" si="31"/>
        <v>110.3934683864538</v>
      </c>
      <c r="J68" s="26">
        <f t="shared" si="31"/>
        <v>140.29169940778502</v>
      </c>
      <c r="K68" s="26">
        <f t="shared" si="31"/>
        <v>82.2201353086609</v>
      </c>
      <c r="L68" s="26">
        <f t="shared" si="31"/>
        <v>285.7580926461851</v>
      </c>
      <c r="M68" s="26">
        <f t="shared" si="31"/>
        <v>193.18856967629415</v>
      </c>
      <c r="N68" s="26">
        <f t="shared" si="31"/>
        <v>152.36598501255344</v>
      </c>
      <c r="O68" s="26">
        <f t="shared" si="31"/>
        <v>96.594284838147075</v>
      </c>
      <c r="P68" s="26">
        <f t="shared" si="31"/>
        <v>114.41823025470994</v>
      </c>
      <c r="Q68" s="26">
        <f t="shared" si="31"/>
        <v>82.2201353086609</v>
      </c>
      <c r="R68" s="26">
        <f t="shared" si="31"/>
        <v>201.23809341280639</v>
      </c>
      <c r="S68" s="26">
        <f t="shared" si="31"/>
        <v>110.3934683864538</v>
      </c>
      <c r="T68" s="26">
        <f t="shared" si="31"/>
        <v>120.74285604768384</v>
      </c>
      <c r="U68" s="26">
        <f t="shared" si="31"/>
        <v>82.2201353086609</v>
      </c>
    </row>
    <row r="70" spans="1:21" ht="12.75" customHeight="1" x14ac:dyDescent="0.2">
      <c r="A70" s="423" t="s">
        <v>190</v>
      </c>
      <c r="B70" s="417" t="s">
        <v>79</v>
      </c>
      <c r="C70" s="418"/>
      <c r="D70" s="47" t="s">
        <v>81</v>
      </c>
      <c r="E70" s="47"/>
      <c r="F70" s="437" t="s">
        <v>82</v>
      </c>
      <c r="G70" s="437"/>
      <c r="H70" s="47" t="s">
        <v>95</v>
      </c>
      <c r="I70" s="47"/>
      <c r="J70" s="426" t="s">
        <v>96</v>
      </c>
      <c r="K70" s="426"/>
      <c r="L70" s="435" t="s">
        <v>97</v>
      </c>
      <c r="M70" s="436"/>
      <c r="N70" s="29" t="s">
        <v>98</v>
      </c>
      <c r="O70" s="27"/>
      <c r="P70" s="47" t="s">
        <v>99</v>
      </c>
      <c r="Q70" s="47"/>
      <c r="R70" s="426" t="s">
        <v>100</v>
      </c>
      <c r="S70" s="426"/>
      <c r="T70" s="47" t="s">
        <v>101</v>
      </c>
      <c r="U70" s="47"/>
    </row>
    <row r="71" spans="1:21" x14ac:dyDescent="0.2">
      <c r="A71" s="423"/>
      <c r="B71" s="51" t="s">
        <v>23</v>
      </c>
      <c r="C71" s="51" t="s">
        <v>22</v>
      </c>
      <c r="D71" s="48" t="s">
        <v>23</v>
      </c>
      <c r="E71" s="48" t="s">
        <v>22</v>
      </c>
      <c r="F71" s="23" t="s">
        <v>23</v>
      </c>
      <c r="G71" s="23" t="s">
        <v>22</v>
      </c>
      <c r="H71" s="48" t="s">
        <v>23</v>
      </c>
      <c r="I71" s="48" t="s">
        <v>22</v>
      </c>
      <c r="J71" s="23" t="s">
        <v>23</v>
      </c>
      <c r="K71" s="23" t="s">
        <v>22</v>
      </c>
      <c r="L71" s="48" t="s">
        <v>23</v>
      </c>
      <c r="M71" s="48" t="s">
        <v>22</v>
      </c>
      <c r="N71" s="23" t="s">
        <v>23</v>
      </c>
      <c r="O71" s="23" t="s">
        <v>22</v>
      </c>
      <c r="P71" s="48" t="s">
        <v>23</v>
      </c>
      <c r="Q71" s="48" t="s">
        <v>22</v>
      </c>
      <c r="R71" s="23" t="s">
        <v>23</v>
      </c>
      <c r="S71" s="23" t="s">
        <v>22</v>
      </c>
      <c r="T71" s="48" t="s">
        <v>23</v>
      </c>
      <c r="U71" s="48" t="s">
        <v>22</v>
      </c>
    </row>
    <row r="72" spans="1:21" x14ac:dyDescent="0.2">
      <c r="A72" s="420" t="s">
        <v>65</v>
      </c>
      <c r="B72" s="420"/>
      <c r="C72" s="420"/>
      <c r="D72" s="30"/>
      <c r="E72" s="30"/>
      <c r="F72" s="30"/>
      <c r="G72" s="30"/>
      <c r="H72" s="30"/>
      <c r="I72" s="30"/>
      <c r="J72" s="30"/>
      <c r="K72" s="30"/>
      <c r="L72" s="30"/>
      <c r="M72" s="30"/>
      <c r="N72" s="30"/>
      <c r="O72" s="30"/>
      <c r="P72" s="30"/>
      <c r="Q72" s="30"/>
      <c r="R72" s="30"/>
      <c r="S72" s="30"/>
      <c r="T72" s="30"/>
      <c r="U72" s="30"/>
    </row>
    <row r="73" spans="1:21" x14ac:dyDescent="0.2">
      <c r="A73" s="23" t="s">
        <v>66</v>
      </c>
      <c r="B73" s="52">
        <f>B37*0.25</f>
        <v>158.59478314199742</v>
      </c>
      <c r="C73" s="52">
        <f>C37*0.25</f>
        <v>91.994556988711508</v>
      </c>
      <c r="D73" s="99">
        <f t="shared" ref="D73:U73" si="32">D37*0.25</f>
        <v>133.20045230657186</v>
      </c>
      <c r="E73" s="99">
        <f t="shared" si="32"/>
        <v>91.994556988711508</v>
      </c>
      <c r="F73" s="100">
        <f t="shared" si="32"/>
        <v>137.99183548306726</v>
      </c>
      <c r="G73" s="100">
        <f t="shared" si="32"/>
        <v>56.059183164996071</v>
      </c>
      <c r="H73" s="99">
        <f t="shared" si="32"/>
        <v>366.54081300189739</v>
      </c>
      <c r="I73" s="99">
        <f t="shared" si="32"/>
        <v>140.86666538896449</v>
      </c>
      <c r="J73" s="100">
        <f t="shared" si="32"/>
        <v>97.744216800505967</v>
      </c>
      <c r="K73" s="100">
        <f t="shared" si="32"/>
        <v>56.059183164996071</v>
      </c>
      <c r="L73" s="99">
        <f t="shared" si="32"/>
        <v>191.17618874216609</v>
      </c>
      <c r="M73" s="99">
        <f t="shared" si="32"/>
        <v>106.36870651819767</v>
      </c>
      <c r="N73" s="100">
        <f t="shared" si="32"/>
        <v>158.59478314199742</v>
      </c>
      <c r="O73" s="100">
        <f t="shared" si="32"/>
        <v>91.994556988711508</v>
      </c>
      <c r="P73" s="99">
        <f t="shared" si="32"/>
        <v>123.61768595358109</v>
      </c>
      <c r="Q73" s="99">
        <f t="shared" si="32"/>
        <v>68.516779423884088</v>
      </c>
      <c r="R73" s="100">
        <f t="shared" si="32"/>
        <v>156.67822987139928</v>
      </c>
      <c r="S73" s="100">
        <f t="shared" si="32"/>
        <v>80.495237365122563</v>
      </c>
      <c r="T73" s="99">
        <f t="shared" si="32"/>
        <v>109.24353642409491</v>
      </c>
      <c r="U73" s="99">
        <f t="shared" si="32"/>
        <v>80.495237365122563</v>
      </c>
    </row>
    <row r="74" spans="1:21" x14ac:dyDescent="0.2">
      <c r="A74" s="23" t="s">
        <v>67</v>
      </c>
      <c r="B74" s="52">
        <f t="shared" ref="B74:C77" si="33">B38*0.25</f>
        <v>307.6067999310041</v>
      </c>
      <c r="C74" s="52">
        <f t="shared" si="33"/>
        <v>220.40362611878797</v>
      </c>
      <c r="D74" s="99">
        <f t="shared" ref="D74:U74" si="34">D38*0.25</f>
        <v>133.20045230657186</v>
      </c>
      <c r="E74" s="99">
        <f t="shared" si="34"/>
        <v>106.36870651819767</v>
      </c>
      <c r="F74" s="100">
        <f t="shared" si="34"/>
        <v>209.86258313049811</v>
      </c>
      <c r="G74" s="100">
        <f t="shared" si="34"/>
        <v>123.61768595358109</v>
      </c>
      <c r="H74" s="99">
        <f t="shared" si="34"/>
        <v>460.45192326120707</v>
      </c>
      <c r="I74" s="99">
        <f t="shared" si="34"/>
        <v>431.22448588458519</v>
      </c>
      <c r="J74" s="100">
        <f t="shared" si="34"/>
        <v>248.19364854246123</v>
      </c>
      <c r="K74" s="100">
        <f t="shared" si="34"/>
        <v>182.07256070682485</v>
      </c>
      <c r="L74" s="99">
        <f t="shared" si="34"/>
        <v>377.56099430783678</v>
      </c>
      <c r="M74" s="99">
        <f t="shared" si="34"/>
        <v>258.73469153075109</v>
      </c>
      <c r="N74" s="100">
        <f t="shared" si="34"/>
        <v>307.6067999310041</v>
      </c>
      <c r="O74" s="100">
        <f t="shared" si="34"/>
        <v>220.40362611878797</v>
      </c>
      <c r="P74" s="99">
        <f t="shared" si="34"/>
        <v>178.71859248327809</v>
      </c>
      <c r="Q74" s="99">
        <f t="shared" si="34"/>
        <v>160.99047473024513</v>
      </c>
      <c r="R74" s="100">
        <f t="shared" si="34"/>
        <v>379.95668589608448</v>
      </c>
      <c r="S74" s="100">
        <f t="shared" si="34"/>
        <v>323.41836441343889</v>
      </c>
      <c r="T74" s="99">
        <f t="shared" si="34"/>
        <v>234.29863733062462</v>
      </c>
      <c r="U74" s="99">
        <f t="shared" si="34"/>
        <v>168.65668781263776</v>
      </c>
    </row>
    <row r="75" spans="1:21" x14ac:dyDescent="0.2">
      <c r="A75" s="23" t="s">
        <v>68</v>
      </c>
      <c r="B75" s="52">
        <f t="shared" si="33"/>
        <v>70.912471012131789</v>
      </c>
      <c r="C75" s="52">
        <f t="shared" si="33"/>
        <v>43.601586906108054</v>
      </c>
      <c r="D75" s="99">
        <f t="shared" ref="D75:U75" si="35">D39*0.25</f>
        <v>95.827663529907809</v>
      </c>
      <c r="E75" s="99">
        <f t="shared" si="35"/>
        <v>68.516779423884088</v>
      </c>
      <c r="F75" s="100">
        <f t="shared" si="35"/>
        <v>79.536960729823491</v>
      </c>
      <c r="G75" s="100">
        <f t="shared" si="35"/>
        <v>43.601586906108054</v>
      </c>
      <c r="H75" s="99">
        <f t="shared" si="35"/>
        <v>63.246257929739158</v>
      </c>
      <c r="I75" s="99">
        <f t="shared" si="35"/>
        <v>43.601586906108054</v>
      </c>
      <c r="J75" s="100">
        <f t="shared" si="35"/>
        <v>64.20453456503823</v>
      </c>
      <c r="K75" s="100">
        <f t="shared" si="35"/>
        <v>43.601586906108054</v>
      </c>
      <c r="L75" s="99">
        <f t="shared" si="35"/>
        <v>55.580044847346535</v>
      </c>
      <c r="M75" s="99">
        <f t="shared" si="35"/>
        <v>56.059183164996071</v>
      </c>
      <c r="N75" s="100">
        <f t="shared" si="35"/>
        <v>70.912471012131789</v>
      </c>
      <c r="O75" s="100">
        <f t="shared" si="35"/>
        <v>43.601586906108054</v>
      </c>
      <c r="P75" s="99">
        <f t="shared" si="35"/>
        <v>79.057822412173948</v>
      </c>
      <c r="Q75" s="99">
        <f t="shared" si="35"/>
        <v>56.059183164996071</v>
      </c>
      <c r="R75" s="100">
        <f t="shared" si="35"/>
        <v>73.308162600379475</v>
      </c>
      <c r="S75" s="100">
        <f t="shared" si="35"/>
        <v>43.601586906108054</v>
      </c>
      <c r="T75" s="99">
        <f t="shared" si="35"/>
        <v>76.182992506276719</v>
      </c>
      <c r="U75" s="99">
        <f t="shared" si="35"/>
        <v>43.601586906108054</v>
      </c>
    </row>
    <row r="76" spans="1:21" x14ac:dyDescent="0.2">
      <c r="A76" s="23" t="s">
        <v>69</v>
      </c>
      <c r="B76" s="52">
        <f t="shared" si="33"/>
        <v>88.640588765164722</v>
      </c>
      <c r="C76" s="52">
        <f t="shared" si="33"/>
        <v>68.516779423884088</v>
      </c>
      <c r="D76" s="99" t="e">
        <f t="shared" ref="D76:U76" si="36">D40*0.25</f>
        <v>#VALUE!</v>
      </c>
      <c r="E76" s="99" t="e">
        <f t="shared" si="36"/>
        <v>#VALUE!</v>
      </c>
      <c r="F76" s="100">
        <f t="shared" si="36"/>
        <v>100.61904670640321</v>
      </c>
      <c r="G76" s="100">
        <f t="shared" si="36"/>
        <v>68.516779423884088</v>
      </c>
      <c r="H76" s="99">
        <f t="shared" si="36"/>
        <v>107.8061214711463</v>
      </c>
      <c r="I76" s="99">
        <f t="shared" si="36"/>
        <v>43.601586906108054</v>
      </c>
      <c r="J76" s="100">
        <f t="shared" si="36"/>
        <v>95.348525212258281</v>
      </c>
      <c r="K76" s="100">
        <f t="shared" si="36"/>
        <v>80.495237365122563</v>
      </c>
      <c r="L76" s="99">
        <f t="shared" si="36"/>
        <v>85.765758859267493</v>
      </c>
      <c r="M76" s="99">
        <f t="shared" si="36"/>
        <v>43.601586906108054</v>
      </c>
      <c r="N76" s="100">
        <f t="shared" si="36"/>
        <v>88.640588765164722</v>
      </c>
      <c r="O76" s="100">
        <f t="shared" si="36"/>
        <v>68.516779423884088</v>
      </c>
      <c r="P76" s="99">
        <f t="shared" si="36"/>
        <v>111.16008969469307</v>
      </c>
      <c r="Q76" s="99">
        <f t="shared" si="36"/>
        <v>80.495237365122563</v>
      </c>
      <c r="R76" s="100">
        <f t="shared" si="36"/>
        <v>80.495237365122563</v>
      </c>
      <c r="S76" s="100">
        <f t="shared" si="36"/>
        <v>43.601586906108054</v>
      </c>
      <c r="T76" s="99">
        <f t="shared" si="36"/>
        <v>68.037641106234545</v>
      </c>
      <c r="U76" s="99">
        <f t="shared" si="36"/>
        <v>43.601586906108054</v>
      </c>
    </row>
    <row r="77" spans="1:21" x14ac:dyDescent="0.2">
      <c r="A77" s="23" t="s">
        <v>70</v>
      </c>
      <c r="B77" s="52">
        <f t="shared" si="33"/>
        <v>151.88684669490388</v>
      </c>
      <c r="C77" s="52">
        <f t="shared" si="33"/>
        <v>106.36870651819767</v>
      </c>
      <c r="D77" s="99">
        <f t="shared" ref="D77:U77" si="37">D41*0.25</f>
        <v>155.7199532361002</v>
      </c>
      <c r="E77" s="99">
        <f t="shared" si="37"/>
        <v>80.495237365122563</v>
      </c>
      <c r="F77" s="100">
        <f t="shared" si="37"/>
        <v>149.97029342430574</v>
      </c>
      <c r="G77" s="100">
        <f t="shared" si="37"/>
        <v>106.36870651819767</v>
      </c>
      <c r="H77" s="99">
        <f t="shared" si="37"/>
        <v>194.53015696571288</v>
      </c>
      <c r="I77" s="99">
        <f t="shared" si="37"/>
        <v>160.99047473024513</v>
      </c>
      <c r="J77" s="100">
        <f t="shared" si="37"/>
        <v>129.36734576537555</v>
      </c>
      <c r="K77" s="100">
        <f t="shared" si="37"/>
        <v>91.994556988711508</v>
      </c>
      <c r="L77" s="99">
        <f t="shared" si="37"/>
        <v>216.09138125994212</v>
      </c>
      <c r="M77" s="99">
        <f t="shared" si="37"/>
        <v>160.99047473024513</v>
      </c>
      <c r="N77" s="100">
        <f t="shared" si="37"/>
        <v>151.88684669490388</v>
      </c>
      <c r="O77" s="100">
        <f t="shared" si="37"/>
        <v>106.36870651819767</v>
      </c>
      <c r="P77" s="99">
        <f t="shared" si="37"/>
        <v>101.09818502405274</v>
      </c>
      <c r="Q77" s="99">
        <f t="shared" si="37"/>
        <v>80.495237365122563</v>
      </c>
      <c r="R77" s="100">
        <f t="shared" si="37"/>
        <v>203.15464668340456</v>
      </c>
      <c r="S77" s="100">
        <f t="shared" si="37"/>
        <v>182.07256070682485</v>
      </c>
      <c r="T77" s="99">
        <f t="shared" si="37"/>
        <v>115.95147287118846</v>
      </c>
      <c r="U77" s="99">
        <f t="shared" si="37"/>
        <v>91.994556988711508</v>
      </c>
    </row>
    <row r="78" spans="1:21" ht="12.75" customHeight="1" x14ac:dyDescent="0.2">
      <c r="A78" s="420" t="s">
        <v>71</v>
      </c>
      <c r="B78" s="420"/>
      <c r="C78" s="420"/>
      <c r="D78" s="30"/>
      <c r="E78" s="30"/>
      <c r="F78" s="31"/>
      <c r="G78" s="31"/>
      <c r="H78" s="30"/>
      <c r="I78" s="30"/>
      <c r="J78" s="31"/>
      <c r="K78" s="31"/>
      <c r="L78" s="30"/>
      <c r="M78" s="30"/>
      <c r="N78" s="31"/>
      <c r="O78" s="31"/>
      <c r="P78" s="30"/>
      <c r="Q78" s="30"/>
      <c r="R78" s="31"/>
      <c r="S78" s="31"/>
      <c r="T78" s="30"/>
      <c r="U78" s="30"/>
    </row>
    <row r="79" spans="1:21" x14ac:dyDescent="0.2">
      <c r="A79" s="23" t="s">
        <v>72</v>
      </c>
      <c r="B79" s="52">
        <f t="shared" ref="B79:C86" si="38">B43*0.25</f>
        <v>108.76439810644537</v>
      </c>
      <c r="C79" s="52">
        <f t="shared" si="38"/>
        <v>80.495237365122563</v>
      </c>
      <c r="D79" s="49">
        <f t="shared" ref="D79:U79" si="39">D43*0.25</f>
        <v>71.391609329781318</v>
      </c>
      <c r="E79" s="49">
        <f t="shared" si="39"/>
        <v>56.059183164996071</v>
      </c>
      <c r="F79" s="24">
        <f t="shared" si="39"/>
        <v>103.97301492994998</v>
      </c>
      <c r="G79" s="24">
        <f t="shared" si="39"/>
        <v>68.516779423884088</v>
      </c>
      <c r="H79" s="49">
        <f t="shared" si="39"/>
        <v>138.47097380071679</v>
      </c>
      <c r="I79" s="49">
        <f t="shared" si="39"/>
        <v>106.36870651819767</v>
      </c>
      <c r="J79" s="24">
        <f t="shared" si="39"/>
        <v>87.203173812216107</v>
      </c>
      <c r="K79" s="24">
        <f t="shared" si="39"/>
        <v>68.516779423884088</v>
      </c>
      <c r="L79" s="49">
        <f t="shared" si="39"/>
        <v>149.49115510665618</v>
      </c>
      <c r="M79" s="49">
        <f t="shared" si="39"/>
        <v>123.61768595358109</v>
      </c>
      <c r="N79" s="24">
        <f t="shared" si="39"/>
        <v>107.32698315349676</v>
      </c>
      <c r="O79" s="24">
        <f t="shared" si="39"/>
        <v>106.36870651819767</v>
      </c>
      <c r="P79" s="49">
        <f t="shared" si="39"/>
        <v>71.391609329781318</v>
      </c>
      <c r="Q79" s="49">
        <f t="shared" si="39"/>
        <v>68.516779423884088</v>
      </c>
      <c r="R79" s="24">
        <f t="shared" si="39"/>
        <v>137.03355884776818</v>
      </c>
      <c r="S79" s="24">
        <f t="shared" si="39"/>
        <v>80.495237365122563</v>
      </c>
      <c r="T79" s="49">
        <f t="shared" si="39"/>
        <v>86.244897176917036</v>
      </c>
      <c r="U79" s="49">
        <f t="shared" si="39"/>
        <v>81.453514000421649</v>
      </c>
    </row>
    <row r="80" spans="1:21" x14ac:dyDescent="0.2">
      <c r="A80" s="23" t="s">
        <v>73</v>
      </c>
      <c r="B80" s="52">
        <f t="shared" si="38"/>
        <v>59.413151388542843</v>
      </c>
      <c r="C80" s="52">
        <f t="shared" si="38"/>
        <v>43.601586906108054</v>
      </c>
      <c r="D80" s="49">
        <f t="shared" ref="D80:U80" si="40">D44*0.25</f>
        <v>49.830385035552062</v>
      </c>
      <c r="E80" s="49">
        <f t="shared" si="40"/>
        <v>43.601586906108054</v>
      </c>
      <c r="F80" s="24">
        <f t="shared" si="40"/>
        <v>56.538321482645614</v>
      </c>
      <c r="G80" s="24">
        <f t="shared" si="40"/>
        <v>43.601586906108054</v>
      </c>
      <c r="H80" s="49">
        <f t="shared" si="40"/>
        <v>56.538321482645614</v>
      </c>
      <c r="I80" s="49">
        <f t="shared" si="40"/>
        <v>43.601586906108054</v>
      </c>
      <c r="J80" s="24">
        <f t="shared" si="40"/>
        <v>53.184353259098835</v>
      </c>
      <c r="K80" s="24">
        <f t="shared" si="40"/>
        <v>43.601586906108054</v>
      </c>
      <c r="L80" s="49">
        <f t="shared" si="40"/>
        <v>100.61904670640321</v>
      </c>
      <c r="M80" s="49">
        <f t="shared" si="40"/>
        <v>56.059183164996071</v>
      </c>
      <c r="N80" s="24">
        <f t="shared" si="40"/>
        <v>65.641949517986859</v>
      </c>
      <c r="O80" s="24">
        <f t="shared" si="40"/>
        <v>43.601586906108054</v>
      </c>
      <c r="P80" s="49">
        <f t="shared" si="40"/>
        <v>61.808842976790544</v>
      </c>
      <c r="Q80" s="49">
        <f t="shared" si="40"/>
        <v>43.601586906108054</v>
      </c>
      <c r="R80" s="24">
        <f t="shared" si="40"/>
        <v>46.955555129654826</v>
      </c>
      <c r="S80" s="24">
        <f t="shared" si="40"/>
        <v>43.601586906108054</v>
      </c>
      <c r="T80" s="49">
        <f t="shared" si="40"/>
        <v>50.309523353201605</v>
      </c>
      <c r="U80" s="49">
        <f t="shared" si="40"/>
        <v>43.601586906108054</v>
      </c>
    </row>
    <row r="81" spans="1:21" x14ac:dyDescent="0.2">
      <c r="A81" s="23" t="s">
        <v>74</v>
      </c>
      <c r="B81" s="52">
        <f t="shared" si="38"/>
        <v>264.48435134254555</v>
      </c>
      <c r="C81" s="52">
        <f t="shared" si="38"/>
        <v>220.40362611878797</v>
      </c>
      <c r="D81" s="49">
        <f t="shared" ref="D81:U81" si="41">D45*0.25</f>
        <v>209.38344481284858</v>
      </c>
      <c r="E81" s="49">
        <f t="shared" si="41"/>
        <v>160.99047473024513</v>
      </c>
      <c r="F81" s="24">
        <f t="shared" si="41"/>
        <v>223.2784560246852</v>
      </c>
      <c r="G81" s="24">
        <f t="shared" si="41"/>
        <v>182.07256070682485</v>
      </c>
      <c r="H81" s="49">
        <f t="shared" si="41"/>
        <v>379.47754757843495</v>
      </c>
      <c r="I81" s="49">
        <f t="shared" si="41"/>
        <v>299.46144853096195</v>
      </c>
      <c r="J81" s="24">
        <f t="shared" si="41"/>
        <v>221.84104107173658</v>
      </c>
      <c r="K81" s="24">
        <f t="shared" si="41"/>
        <v>220.40362611878797</v>
      </c>
      <c r="L81" s="49">
        <f t="shared" si="41"/>
        <v>361.27029150775246</v>
      </c>
      <c r="M81" s="49">
        <f t="shared" si="41"/>
        <v>299.46144853096195</v>
      </c>
      <c r="N81" s="24">
        <f t="shared" si="41"/>
        <v>206.98775322460088</v>
      </c>
      <c r="O81" s="24">
        <f t="shared" si="41"/>
        <v>182.07256070682485</v>
      </c>
      <c r="P81" s="49">
        <f t="shared" si="41"/>
        <v>177.28117753032944</v>
      </c>
      <c r="Q81" s="49">
        <f t="shared" si="41"/>
        <v>140.86666538896449</v>
      </c>
      <c r="R81" s="24">
        <f t="shared" si="41"/>
        <v>299.46144853096195</v>
      </c>
      <c r="S81" s="24">
        <f t="shared" si="41"/>
        <v>220.40362611878797</v>
      </c>
      <c r="T81" s="49">
        <f t="shared" si="41"/>
        <v>215.13310462464304</v>
      </c>
      <c r="U81" s="49">
        <f t="shared" si="41"/>
        <v>182.07256070682485</v>
      </c>
    </row>
    <row r="82" spans="1:21" x14ac:dyDescent="0.2">
      <c r="A82" s="23" t="s">
        <v>75</v>
      </c>
      <c r="B82" s="52">
        <f t="shared" si="38"/>
        <v>231.42380742472739</v>
      </c>
      <c r="C82" s="52">
        <f t="shared" si="38"/>
        <v>140.86666538896449</v>
      </c>
      <c r="D82" s="49">
        <f t="shared" ref="D82:U82" si="42">D46*0.25</f>
        <v>161.46961304789465</v>
      </c>
      <c r="E82" s="49">
        <f t="shared" si="42"/>
        <v>106.36870651819767</v>
      </c>
      <c r="F82" s="24">
        <f t="shared" si="42"/>
        <v>140.38752707131493</v>
      </c>
      <c r="G82" s="24">
        <f t="shared" si="42"/>
        <v>123.61768595358109</v>
      </c>
      <c r="H82" s="49">
        <f t="shared" si="42"/>
        <v>314.31473637809762</v>
      </c>
      <c r="I82" s="49">
        <f t="shared" si="42"/>
        <v>106.36870651819767</v>
      </c>
      <c r="J82" s="24">
        <f t="shared" si="42"/>
        <v>183.98911397742302</v>
      </c>
      <c r="K82" s="24">
        <f t="shared" si="42"/>
        <v>123.61768595358109</v>
      </c>
      <c r="L82" s="49">
        <f t="shared" si="42"/>
        <v>469.55555129654829</v>
      </c>
      <c r="M82" s="49">
        <f t="shared" si="42"/>
        <v>323.41836441343889</v>
      </c>
      <c r="N82" s="24">
        <f t="shared" si="42"/>
        <v>198.36326350690916</v>
      </c>
      <c r="O82" s="24">
        <f t="shared" si="42"/>
        <v>160.99047473024513</v>
      </c>
      <c r="P82" s="49">
        <f t="shared" si="42"/>
        <v>112.11836632999214</v>
      </c>
      <c r="Q82" s="49">
        <f t="shared" si="42"/>
        <v>106.36870651819767</v>
      </c>
      <c r="R82" s="24">
        <f t="shared" si="42"/>
        <v>228.0698392011806</v>
      </c>
      <c r="S82" s="24">
        <f t="shared" si="42"/>
        <v>182.07256070682485</v>
      </c>
      <c r="T82" s="49">
        <f t="shared" si="42"/>
        <v>143.74149529486172</v>
      </c>
      <c r="U82" s="49">
        <f t="shared" si="42"/>
        <v>106.36870651819767</v>
      </c>
    </row>
    <row r="83" spans="1:21" x14ac:dyDescent="0.2">
      <c r="A83" s="23" t="s">
        <v>76</v>
      </c>
      <c r="B83" s="52">
        <f t="shared" si="38"/>
        <v>167.69841117733867</v>
      </c>
      <c r="C83" s="52">
        <f t="shared" si="38"/>
        <v>123.61768595358109</v>
      </c>
      <c r="D83" s="49">
        <f t="shared" ref="D83:U83" si="43">D47*0.25</f>
        <v>138.47097380071679</v>
      </c>
      <c r="E83" s="49">
        <f t="shared" si="43"/>
        <v>106.36870651819767</v>
      </c>
      <c r="F83" s="24">
        <f t="shared" si="43"/>
        <v>150.92857005960479</v>
      </c>
      <c r="G83" s="24">
        <f t="shared" si="43"/>
        <v>106.36870651819767</v>
      </c>
      <c r="H83" s="49">
        <f t="shared" si="43"/>
        <v>146.61632520075895</v>
      </c>
      <c r="I83" s="49">
        <f t="shared" si="43"/>
        <v>140.86666538896449</v>
      </c>
      <c r="J83" s="24">
        <f t="shared" si="43"/>
        <v>152.36598501255344</v>
      </c>
      <c r="K83" s="24">
        <f t="shared" si="43"/>
        <v>123.61768595358109</v>
      </c>
      <c r="L83" s="49">
        <f t="shared" si="43"/>
        <v>229.98639247177874</v>
      </c>
      <c r="M83" s="49">
        <f t="shared" si="43"/>
        <v>160.99047473024513</v>
      </c>
      <c r="N83" s="24">
        <f t="shared" si="43"/>
        <v>203.15464668340456</v>
      </c>
      <c r="O83" s="24">
        <f t="shared" si="43"/>
        <v>123.61768595358109</v>
      </c>
      <c r="P83" s="49">
        <f t="shared" si="43"/>
        <v>141.34580370661402</v>
      </c>
      <c r="Q83" s="49">
        <f t="shared" si="43"/>
        <v>123.61768595358109</v>
      </c>
      <c r="R83" s="24">
        <f t="shared" si="43"/>
        <v>218.96621116583935</v>
      </c>
      <c r="S83" s="24">
        <f t="shared" si="43"/>
        <v>160.99047473024513</v>
      </c>
      <c r="T83" s="49">
        <f t="shared" si="43"/>
        <v>123.61768595358109</v>
      </c>
      <c r="U83" s="49">
        <f t="shared" si="43"/>
        <v>106.36870651819767</v>
      </c>
    </row>
    <row r="84" spans="1:21" x14ac:dyDescent="0.2">
      <c r="A84" s="23" t="s">
        <v>77</v>
      </c>
      <c r="B84" s="52">
        <f t="shared" si="38"/>
        <v>105.88956820054814</v>
      </c>
      <c r="C84" s="52">
        <f t="shared" si="38"/>
        <v>80.495237365122563</v>
      </c>
      <c r="D84" s="49">
        <f t="shared" ref="D84:U84" si="44">D48*0.25</f>
        <v>67.558502788585002</v>
      </c>
      <c r="E84" s="49">
        <f t="shared" si="44"/>
        <v>80.495237365122563</v>
      </c>
      <c r="F84" s="24">
        <f t="shared" si="44"/>
        <v>91.515418671061965</v>
      </c>
      <c r="G84" s="24">
        <f t="shared" si="44"/>
        <v>80.495237365122563</v>
      </c>
      <c r="H84" s="49">
        <f t="shared" si="44"/>
        <v>94.869386894608738</v>
      </c>
      <c r="I84" s="49">
        <f t="shared" si="44"/>
        <v>91.994556988711508</v>
      </c>
      <c r="J84" s="24">
        <f t="shared" si="44"/>
        <v>65.162811200337316</v>
      </c>
      <c r="K84" s="24">
        <f t="shared" si="44"/>
        <v>68.516779423884088</v>
      </c>
      <c r="L84" s="49">
        <f t="shared" si="44"/>
        <v>378.99840926078542</v>
      </c>
      <c r="M84" s="49">
        <f t="shared" si="44"/>
        <v>323.41836441343889</v>
      </c>
      <c r="N84" s="24">
        <f t="shared" si="44"/>
        <v>59.892289706192386</v>
      </c>
      <c r="O84" s="24">
        <f t="shared" si="44"/>
        <v>68.516779423884088</v>
      </c>
      <c r="P84" s="49">
        <f t="shared" si="44"/>
        <v>73.308162600379475</v>
      </c>
      <c r="Q84" s="49">
        <f t="shared" si="44"/>
        <v>106.36870651819767</v>
      </c>
      <c r="R84" s="24">
        <f t="shared" si="44"/>
        <v>76.182992506276719</v>
      </c>
      <c r="S84" s="24">
        <f t="shared" si="44"/>
        <v>68.516779423884088</v>
      </c>
      <c r="T84" s="49">
        <f t="shared" si="44"/>
        <v>59.413151388542843</v>
      </c>
      <c r="U84" s="49">
        <f t="shared" si="44"/>
        <v>80.495237365122563</v>
      </c>
    </row>
    <row r="85" spans="1:21" x14ac:dyDescent="0.2">
      <c r="A85" s="23" t="s">
        <v>78</v>
      </c>
      <c r="B85" s="52">
        <f t="shared" si="38"/>
        <v>54.621768212047456</v>
      </c>
      <c r="C85" s="52">
        <f t="shared" si="38"/>
        <v>31.14399064722004</v>
      </c>
      <c r="D85" s="49">
        <f t="shared" ref="D85:U85" si="45">D49*0.25</f>
        <v>39.289342047262203</v>
      </c>
      <c r="E85" s="49">
        <f t="shared" si="45"/>
        <v>31.14399064722004</v>
      </c>
      <c r="F85" s="24">
        <f t="shared" si="45"/>
        <v>67.558502788585002</v>
      </c>
      <c r="G85" s="24">
        <f t="shared" si="45"/>
        <v>56.059183164996071</v>
      </c>
      <c r="H85" s="49">
        <f t="shared" si="45"/>
        <v>43.601586906108054</v>
      </c>
      <c r="I85" s="49">
        <f t="shared" si="45"/>
        <v>31.14399064722004</v>
      </c>
      <c r="J85" s="24">
        <f t="shared" si="45"/>
        <v>35.93537382371543</v>
      </c>
      <c r="K85" s="24">
        <f t="shared" si="45"/>
        <v>31.14399064722004</v>
      </c>
      <c r="L85" s="49">
        <f t="shared" si="45"/>
        <v>74.266439235678561</v>
      </c>
      <c r="M85" s="49">
        <f t="shared" si="45"/>
        <v>43.601586906108054</v>
      </c>
      <c r="N85" s="24">
        <f t="shared" si="45"/>
        <v>52.226076623799756</v>
      </c>
      <c r="O85" s="24">
        <f t="shared" si="45"/>
        <v>43.601586906108054</v>
      </c>
      <c r="P85" s="49">
        <f t="shared" si="45"/>
        <v>38.331065411963124</v>
      </c>
      <c r="Q85" s="49">
        <f t="shared" si="45"/>
        <v>31.14399064722004</v>
      </c>
      <c r="R85" s="24">
        <f t="shared" si="45"/>
        <v>65.162811200337316</v>
      </c>
      <c r="S85" s="24">
        <f t="shared" si="45"/>
        <v>31.14399064722004</v>
      </c>
      <c r="T85" s="49">
        <f t="shared" si="45"/>
        <v>43.122448588458518</v>
      </c>
      <c r="U85" s="49">
        <f t="shared" si="45"/>
        <v>31.14399064722004</v>
      </c>
    </row>
    <row r="86" spans="1:21" x14ac:dyDescent="0.2">
      <c r="A86" s="25" t="s">
        <v>79</v>
      </c>
      <c r="B86" s="26">
        <f t="shared" si="38"/>
        <v>142.78321865956264</v>
      </c>
      <c r="C86" s="26">
        <f t="shared" si="38"/>
        <v>80.495237365122563</v>
      </c>
      <c r="D86" s="26">
        <f t="shared" ref="D86:U86" si="46">D50*0.25</f>
        <v>103.0147382946509</v>
      </c>
      <c r="E86" s="26">
        <f t="shared" si="46"/>
        <v>80.495237365122563</v>
      </c>
      <c r="F86" s="26">
        <f t="shared" si="46"/>
        <v>125.0551009065297</v>
      </c>
      <c r="G86" s="26">
        <f t="shared" si="46"/>
        <v>80.495237365122563</v>
      </c>
      <c r="H86" s="26">
        <f t="shared" si="46"/>
        <v>175.3646242597313</v>
      </c>
      <c r="I86" s="26">
        <f t="shared" si="46"/>
        <v>91.994556988711508</v>
      </c>
      <c r="J86" s="26">
        <f t="shared" si="46"/>
        <v>116.90974950648753</v>
      </c>
      <c r="K86" s="26">
        <f t="shared" si="46"/>
        <v>68.516779423884088</v>
      </c>
      <c r="L86" s="26">
        <f t="shared" si="46"/>
        <v>238.13174387182093</v>
      </c>
      <c r="M86" s="26">
        <f t="shared" si="46"/>
        <v>160.99047473024513</v>
      </c>
      <c r="N86" s="26">
        <f t="shared" si="46"/>
        <v>126.97165417712786</v>
      </c>
      <c r="O86" s="26">
        <f t="shared" si="46"/>
        <v>80.495237365122563</v>
      </c>
      <c r="P86" s="26">
        <f t="shared" si="46"/>
        <v>95.348525212258281</v>
      </c>
      <c r="Q86" s="26">
        <f t="shared" si="46"/>
        <v>68.516779423884088</v>
      </c>
      <c r="R86" s="26">
        <f t="shared" si="46"/>
        <v>167.69841117733867</v>
      </c>
      <c r="S86" s="26">
        <f t="shared" si="46"/>
        <v>91.994556988711508</v>
      </c>
      <c r="T86" s="26">
        <f t="shared" si="46"/>
        <v>100.61904670640321</v>
      </c>
      <c r="U86" s="26">
        <f t="shared" si="46"/>
        <v>68.516779423884088</v>
      </c>
    </row>
  </sheetData>
  <mergeCells count="42">
    <mergeCell ref="R52:S52"/>
    <mergeCell ref="F52:G52"/>
    <mergeCell ref="J52:K52"/>
    <mergeCell ref="T22:U22"/>
    <mergeCell ref="F70:G70"/>
    <mergeCell ref="J70:K70"/>
    <mergeCell ref="R70:S70"/>
    <mergeCell ref="L70:M70"/>
    <mergeCell ref="J34:K34"/>
    <mergeCell ref="R34:S34"/>
    <mergeCell ref="A2:U2"/>
    <mergeCell ref="A52:A53"/>
    <mergeCell ref="A34:A35"/>
    <mergeCell ref="A4:A5"/>
    <mergeCell ref="L52:M52"/>
    <mergeCell ref="L34:M34"/>
    <mergeCell ref="H22:I22"/>
    <mergeCell ref="J22:K22"/>
    <mergeCell ref="A6:C6"/>
    <mergeCell ref="A12:C12"/>
    <mergeCell ref="F4:G4"/>
    <mergeCell ref="B22:C22"/>
    <mergeCell ref="D22:E22"/>
    <mergeCell ref="J4:K4"/>
    <mergeCell ref="B34:C34"/>
    <mergeCell ref="F34:G34"/>
    <mergeCell ref="R4:S4"/>
    <mergeCell ref="F22:G22"/>
    <mergeCell ref="L22:M22"/>
    <mergeCell ref="P22:Q22"/>
    <mergeCell ref="R22:S22"/>
    <mergeCell ref="B4:C4"/>
    <mergeCell ref="A3:C3"/>
    <mergeCell ref="A78:C78"/>
    <mergeCell ref="A54:C54"/>
    <mergeCell ref="A60:C60"/>
    <mergeCell ref="B70:C70"/>
    <mergeCell ref="A72:C72"/>
    <mergeCell ref="A70:A71"/>
    <mergeCell ref="B52:C52"/>
    <mergeCell ref="A36:C36"/>
    <mergeCell ref="A42:C42"/>
  </mergeCells>
  <phoneticPr fontId="0" type="noConversion"/>
  <pageMargins left="0.75" right="0.75" top="1" bottom="1" header="0.5" footer="0.5"/>
  <pageSetup paperSize="9" scale="61"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Normal="100" workbookViewId="0">
      <selection activeCell="A4" sqref="A4"/>
    </sheetView>
  </sheetViews>
  <sheetFormatPr defaultRowHeight="12.75" x14ac:dyDescent="0.2"/>
  <cols>
    <col min="1" max="1" width="16.5703125" customWidth="1"/>
    <col min="2" max="2" width="12" customWidth="1"/>
    <col min="4" max="4" width="10.5703125" customWidth="1"/>
    <col min="5" max="5" width="11.42578125" customWidth="1"/>
    <col min="6" max="6" width="11.28515625" customWidth="1"/>
    <col min="7" max="7" width="11.5703125" customWidth="1"/>
    <col min="8" max="8" width="11" customWidth="1"/>
    <col min="9" max="9" width="11.28515625" customWidth="1"/>
    <col min="10" max="10" width="11.85546875" customWidth="1"/>
  </cols>
  <sheetData>
    <row r="1" spans="1:10" ht="20.25" x14ac:dyDescent="0.3">
      <c r="A1" s="38" t="s">
        <v>124</v>
      </c>
    </row>
    <row r="2" spans="1:10" ht="20.25" x14ac:dyDescent="0.3">
      <c r="A2" s="38"/>
    </row>
    <row r="3" spans="1:10" ht="15" x14ac:dyDescent="0.2">
      <c r="A3" s="19" t="s">
        <v>55</v>
      </c>
    </row>
    <row r="4" spans="1:10" x14ac:dyDescent="0.2">
      <c r="A4" t="s">
        <v>64</v>
      </c>
    </row>
    <row r="5" spans="1:10" ht="15" x14ac:dyDescent="0.2">
      <c r="A5" s="19" t="s">
        <v>56</v>
      </c>
    </row>
    <row r="7" spans="1:10" x14ac:dyDescent="0.2">
      <c r="A7" s="20" t="s">
        <v>57</v>
      </c>
    </row>
    <row r="9" spans="1:10" ht="22.5" x14ac:dyDescent="0.2">
      <c r="A9" s="15" t="s">
        <v>36</v>
      </c>
      <c r="B9" s="16" t="s">
        <v>34</v>
      </c>
      <c r="C9" s="16" t="s">
        <v>35</v>
      </c>
      <c r="D9" s="16" t="s">
        <v>42</v>
      </c>
      <c r="E9" s="16" t="s">
        <v>43</v>
      </c>
      <c r="F9" s="16" t="s">
        <v>44</v>
      </c>
      <c r="G9" s="16" t="s">
        <v>45</v>
      </c>
      <c r="H9" s="16" t="s">
        <v>46</v>
      </c>
      <c r="I9" s="16" t="s">
        <v>47</v>
      </c>
      <c r="J9" s="16" t="s">
        <v>48</v>
      </c>
    </row>
    <row r="10" spans="1:10" x14ac:dyDescent="0.2">
      <c r="A10" s="17" t="s">
        <v>49</v>
      </c>
      <c r="B10" s="18">
        <v>40.14</v>
      </c>
      <c r="C10" s="18">
        <v>76.569999999999993</v>
      </c>
      <c r="D10" s="18">
        <v>83.86</v>
      </c>
      <c r="E10" s="18">
        <v>96.95</v>
      </c>
      <c r="F10" s="18">
        <v>109.5</v>
      </c>
      <c r="G10" s="18">
        <v>124.24</v>
      </c>
      <c r="H10" s="18">
        <v>130.58000000000001</v>
      </c>
      <c r="I10" s="18">
        <v>130.85</v>
      </c>
      <c r="J10" s="18">
        <v>96.9</v>
      </c>
    </row>
    <row r="11" spans="1:10" x14ac:dyDescent="0.2">
      <c r="A11" s="17" t="s">
        <v>50</v>
      </c>
      <c r="B11" s="18">
        <v>4.6900000000000004</v>
      </c>
      <c r="C11" s="18">
        <v>10.65</v>
      </c>
      <c r="D11" s="18">
        <v>9.5500000000000007</v>
      </c>
      <c r="E11" s="18">
        <v>9</v>
      </c>
      <c r="F11" s="18">
        <v>7.53</v>
      </c>
      <c r="G11" s="18">
        <v>5.56</v>
      </c>
      <c r="H11" s="18">
        <v>4.09</v>
      </c>
      <c r="I11" s="18">
        <v>2.88</v>
      </c>
      <c r="J11" s="18">
        <v>8.74</v>
      </c>
    </row>
    <row r="12" spans="1:10" x14ac:dyDescent="0.2">
      <c r="A12" s="17" t="s">
        <v>51</v>
      </c>
      <c r="B12" s="18">
        <v>43.93</v>
      </c>
      <c r="C12" s="18">
        <v>85.2</v>
      </c>
      <c r="D12" s="18">
        <v>90.85</v>
      </c>
      <c r="E12" s="18">
        <v>103.77</v>
      </c>
      <c r="F12" s="18">
        <v>114.16</v>
      </c>
      <c r="G12" s="18">
        <v>127.2</v>
      </c>
      <c r="H12" s="18">
        <v>132.31</v>
      </c>
      <c r="I12" s="18">
        <v>131.49</v>
      </c>
      <c r="J12" s="18">
        <v>103.03</v>
      </c>
    </row>
    <row r="13" spans="1:10" x14ac:dyDescent="0.2">
      <c r="A13" s="17" t="s">
        <v>52</v>
      </c>
      <c r="B13" s="18">
        <v>21</v>
      </c>
      <c r="C13" s="18">
        <v>158</v>
      </c>
      <c r="D13" s="18">
        <v>3622</v>
      </c>
      <c r="E13" s="18">
        <v>3705</v>
      </c>
      <c r="F13" s="18">
        <v>2421</v>
      </c>
      <c r="G13" s="18">
        <v>636</v>
      </c>
      <c r="H13" s="18">
        <v>97</v>
      </c>
      <c r="I13" s="18">
        <v>9</v>
      </c>
      <c r="J13" s="18">
        <v>10669</v>
      </c>
    </row>
    <row r="14" spans="1:10" x14ac:dyDescent="0.2">
      <c r="A14" s="17" t="s">
        <v>53</v>
      </c>
      <c r="B14" s="18">
        <v>94.59</v>
      </c>
      <c r="C14" s="18">
        <v>77.290000000000006</v>
      </c>
      <c r="D14" s="18">
        <v>87.33</v>
      </c>
      <c r="E14" s="18">
        <v>101.76</v>
      </c>
      <c r="F14" s="18">
        <v>116.65</v>
      </c>
      <c r="G14" s="18">
        <v>134.13</v>
      </c>
      <c r="H14" s="18">
        <v>145.21</v>
      </c>
      <c r="I14" s="18">
        <v>156.99</v>
      </c>
      <c r="J14" s="18">
        <v>102.24</v>
      </c>
    </row>
    <row r="15" spans="1:10" x14ac:dyDescent="0.2">
      <c r="A15" s="17" t="s">
        <v>54</v>
      </c>
      <c r="B15" s="18">
        <v>21</v>
      </c>
      <c r="C15" s="18">
        <v>158</v>
      </c>
      <c r="D15" s="18">
        <v>3622</v>
      </c>
      <c r="E15" s="18">
        <v>3705</v>
      </c>
      <c r="F15" s="18">
        <v>2421</v>
      </c>
      <c r="G15" s="18">
        <v>636</v>
      </c>
      <c r="H15" s="18">
        <v>97</v>
      </c>
      <c r="I15" s="18">
        <v>9</v>
      </c>
      <c r="J15" s="18">
        <v>10669</v>
      </c>
    </row>
    <row r="17" spans="1:13" x14ac:dyDescent="0.2">
      <c r="A17" s="17" t="s">
        <v>126</v>
      </c>
      <c r="B17" s="2">
        <f>B14+B11</f>
        <v>99.28</v>
      </c>
      <c r="C17" s="2">
        <f t="shared" ref="C17:J17" si="0">C14+C11</f>
        <v>87.940000000000012</v>
      </c>
      <c r="D17" s="2">
        <f t="shared" si="0"/>
        <v>96.88</v>
      </c>
      <c r="E17" s="2">
        <f t="shared" si="0"/>
        <v>110.76</v>
      </c>
      <c r="F17" s="2">
        <f t="shared" si="0"/>
        <v>124.18</v>
      </c>
      <c r="G17" s="2">
        <f t="shared" si="0"/>
        <v>139.69</v>
      </c>
      <c r="H17" s="2">
        <f t="shared" si="0"/>
        <v>149.30000000000001</v>
      </c>
      <c r="I17" s="2">
        <f t="shared" si="0"/>
        <v>159.87</v>
      </c>
      <c r="J17" s="2">
        <f t="shared" si="0"/>
        <v>110.97999999999999</v>
      </c>
    </row>
    <row r="19" spans="1:13" x14ac:dyDescent="0.2">
      <c r="A19" s="4" t="s">
        <v>58</v>
      </c>
    </row>
    <row r="21" spans="1:13" x14ac:dyDescent="0.2">
      <c r="A21" s="21" t="s">
        <v>59</v>
      </c>
    </row>
    <row r="23" spans="1:13" ht="52.5" customHeight="1" x14ac:dyDescent="0.2">
      <c r="A23" s="439" t="s">
        <v>60</v>
      </c>
      <c r="B23" s="439"/>
      <c r="C23" s="439"/>
      <c r="D23" s="439"/>
      <c r="E23" s="439"/>
      <c r="F23" s="439"/>
      <c r="G23" s="439"/>
      <c r="H23" s="439"/>
      <c r="I23" s="439"/>
      <c r="J23" s="439"/>
      <c r="K23" s="439"/>
      <c r="L23" s="439"/>
      <c r="M23" s="439"/>
    </row>
    <row r="24" spans="1:13" ht="30.75" customHeight="1" x14ac:dyDescent="0.2">
      <c r="A24" s="439" t="s">
        <v>61</v>
      </c>
      <c r="B24" s="439"/>
      <c r="C24" s="439"/>
      <c r="D24" s="439"/>
      <c r="E24" s="439"/>
      <c r="F24" s="439"/>
      <c r="G24" s="439"/>
      <c r="H24" s="439"/>
      <c r="I24" s="439"/>
      <c r="J24" s="439"/>
      <c r="K24" s="439"/>
      <c r="L24" s="439"/>
      <c r="M24" s="439"/>
    </row>
    <row r="25" spans="1:13" ht="14.25" x14ac:dyDescent="0.2">
      <c r="A25" s="441" t="s">
        <v>62</v>
      </c>
      <c r="B25" s="441"/>
      <c r="C25" s="441"/>
      <c r="D25" s="441"/>
      <c r="E25" s="441"/>
      <c r="F25" s="441"/>
      <c r="G25" s="441"/>
      <c r="H25" s="441"/>
      <c r="I25" s="441"/>
      <c r="J25" s="441"/>
    </row>
    <row r="26" spans="1:13" ht="35.25" customHeight="1" x14ac:dyDescent="0.2">
      <c r="A26" s="439" t="s">
        <v>63</v>
      </c>
      <c r="B26" s="439"/>
      <c r="C26" s="439"/>
      <c r="D26" s="439"/>
      <c r="E26" s="439"/>
      <c r="F26" s="439"/>
      <c r="G26" s="439"/>
      <c r="H26" s="439"/>
      <c r="I26" s="439"/>
      <c r="J26" s="439"/>
      <c r="K26" s="439"/>
      <c r="L26" s="439"/>
      <c r="M26" s="439"/>
    </row>
    <row r="28" spans="1:13" ht="45.75" customHeight="1" x14ac:dyDescent="0.2">
      <c r="A28" s="440" t="s">
        <v>39</v>
      </c>
      <c r="B28" s="440"/>
      <c r="C28" s="440"/>
      <c r="D28" s="440"/>
      <c r="E28" s="440"/>
      <c r="F28" s="440"/>
      <c r="G28" s="440"/>
      <c r="H28" s="440"/>
      <c r="I28" s="440"/>
      <c r="J28" s="440"/>
      <c r="K28" s="440"/>
      <c r="L28" s="440"/>
      <c r="M28" s="440"/>
    </row>
    <row r="29" spans="1:13" ht="62.25" customHeight="1" x14ac:dyDescent="0.2">
      <c r="A29" s="440" t="s">
        <v>40</v>
      </c>
      <c r="B29" s="440"/>
      <c r="C29" s="440"/>
      <c r="D29" s="440"/>
      <c r="E29" s="440"/>
      <c r="F29" s="440"/>
      <c r="G29" s="440"/>
      <c r="H29" s="440"/>
      <c r="I29" s="440"/>
      <c r="J29" s="440"/>
      <c r="K29" s="440"/>
      <c r="L29" s="440"/>
      <c r="M29" s="440"/>
    </row>
  </sheetData>
  <mergeCells count="6">
    <mergeCell ref="A24:M24"/>
    <mergeCell ref="A23:M23"/>
    <mergeCell ref="A28:M28"/>
    <mergeCell ref="A29:M29"/>
    <mergeCell ref="A25:J25"/>
    <mergeCell ref="A26:M26"/>
  </mergeCells>
  <phoneticPr fontId="0" type="noConversion"/>
  <hyperlinks>
    <hyperlink ref="A19" r:id="rId1"/>
  </hyperlinks>
  <pageMargins left="0.75" right="0.75" top="1" bottom="1" header="0.5" footer="0.5"/>
  <pageSetup paperSize="9" scale="82" orientation="landscape" verticalDpi="300" r:id="rId2"/>
  <headerFooter alignWithMargins="0"/>
  <colBreaks count="1" manualBreakCount="1">
    <brk id="15"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Notes</vt:lpstr>
      <vt:lpstr>Key formula data</vt:lpstr>
      <vt:lpstr>Proposed scheme checker</vt:lpstr>
      <vt:lpstr>1. Proportions MR+income req</vt:lpstr>
      <vt:lpstr>2. Max levels within Ben Cap</vt:lpstr>
      <vt:lpstr>3. Max levels for incomes HRS</vt:lpstr>
      <vt:lpstr>4. Test of possible scenarios</vt:lpstr>
      <vt:lpstr>Data 1. Income</vt:lpstr>
      <vt:lpstr>Data 2. Target Rents</vt:lpstr>
      <vt:lpstr>Data 3. Benefit cap analysis</vt:lpstr>
      <vt:lpstr>Data4 Extra Benefit Cap Details</vt:lpstr>
      <vt:lpstr>Rent data</vt:lpstr>
      <vt:lpstr>lhamonthly</vt:lpstr>
      <vt:lpstr>lhaweekly</vt:lpstr>
      <vt:lpstr>Medianrents</vt:lpstr>
      <vt:lpstr>medianrents22</vt:lpstr>
      <vt:lpstr>'1. Proportions MR+income req'!Print_Area</vt:lpstr>
      <vt:lpstr>'2. Max levels within Ben Cap'!Print_Area</vt:lpstr>
      <vt:lpstr>'3. Max levels for incomes HRS'!Print_Area</vt:lpstr>
      <vt:lpstr>'Data 3. Benefit cap analysis'!Print_Area</vt:lpstr>
      <vt:lpstr>'Data4 Extra Benefit Cap Details'!Print_Area</vt:lpstr>
      <vt:lpstr>'Key formula data'!Print_Area</vt:lpstr>
      <vt:lpstr>Notes!Print_Area</vt:lpstr>
      <vt:lpstr>'Proposed scheme checker'!Print_Area</vt:lpstr>
      <vt:lpstr>rentstable3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Weallans, Robert</dc:creator>
  <cp:lastModifiedBy>Weaver, Thomas</cp:lastModifiedBy>
  <cp:lastPrinted>2012-06-07T13:22:36Z</cp:lastPrinted>
  <dcterms:created xsi:type="dcterms:W3CDTF">2010-11-08T18:17:20Z</dcterms:created>
  <dcterms:modified xsi:type="dcterms:W3CDTF">2016-09-23T15:34:50Z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